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DieseArbeitsmappe"/>
  <mc:AlternateContent xmlns:mc="http://schemas.openxmlformats.org/markup-compatibility/2006">
    <mc:Choice Requires="x15">
      <x15ac:absPath xmlns:x15ac="http://schemas.microsoft.com/office/spreadsheetml/2010/11/ac" url="R:\G\PP\VM\S\_ALL\SAC\GREMIEN_ARBEITSGRUPPEN\UAG Antragsunterlagen\ab_14.08.2023\04_Abstimmungen_UAG\241111 UAG\Endversion Anträge\B2\"/>
    </mc:Choice>
  </mc:AlternateContent>
  <xr:revisionPtr revIDLastSave="0" documentId="13_ncr:1_{4BCCA94B-58F4-4CF4-8163-F24085533FC1}" xr6:coauthVersionLast="47" xr6:coauthVersionMax="47" xr10:uidLastSave="{00000000-0000-0000-0000-000000000000}"/>
  <workbookProtection workbookAlgorithmName="SHA-512" workbookHashValue="v1Rr+yT4T1VokHnuzrZK+QKMcmOOqFZwvGXn1cHnhkUxqoA8ixOJbFvzr4iYPcsdnlJPns1w5I1kXeq7TOsrQQ==" workbookSaltValue="zG+fURqzF//nIPaLXpC6PQ==" workbookSpinCount="100000" lockStructure="1"/>
  <bookViews>
    <workbookView xWindow="28680" yWindow="-120" windowWidth="29040" windowHeight="15840" tabRatio="783" firstSheet="2" activeTab="2" xr2:uid="{00000000-000D-0000-FFFF-FFFF00000000}"/>
  </bookViews>
  <sheets>
    <sheet name="B2_Versionsinfo" sheetId="13" state="hidden" r:id="rId1"/>
    <sheet name="KAT" sheetId="5" state="hidden" r:id="rId2"/>
    <sheet name="B2_Hinweise" sheetId="1" r:id="rId3"/>
    <sheet name="B2_Allgemeine Angaben" sheetId="2" r:id="rId4"/>
    <sheet name="B2_Kalkulation" sheetId="3" r:id="rId5"/>
    <sheet name="B2_Personalkostenübersicht" sheetId="9" r:id="rId6"/>
    <sheet name="B2_Gesamtkalkulation " sheetId="4" r:id="rId7"/>
    <sheet name="B2_Gesamtkalkulation ab XXX" sheetId="14" state="hidden" r:id="rId8"/>
    <sheet name="Bewohnervertretung" sheetId="6" r:id="rId9"/>
    <sheet name="B2_Ergebnis" sheetId="10" r:id="rId10"/>
    <sheet name="Adressverzeichnis" sheetId="11" r:id="rId11"/>
    <sheet name="Archiv" sheetId="15" state="hidden" r:id="rId12"/>
    <sheet name="B2_Archiv" sheetId="12" state="hidden" r:id="rId13"/>
  </sheets>
  <definedNames>
    <definedName name="_xlnm.Print_Area" localSheetId="10">Adressverzeichnis!$A$1:$I$61</definedName>
    <definedName name="_xlnm.Print_Area" localSheetId="3">'B2_Allgemeine Angaben'!$A$1:$N$74</definedName>
    <definedName name="_xlnm.Print_Area" localSheetId="9">B2_Ergebnis!$A$1:$M$53</definedName>
    <definedName name="_xlnm.Print_Area" localSheetId="6">'B2_Gesamtkalkulation '!$A$1:$W$54</definedName>
    <definedName name="_xlnm.Print_Area" localSheetId="7">'B2_Gesamtkalkulation ab XXX'!$A$1:$W$54</definedName>
    <definedName name="_xlnm.Print_Area" localSheetId="2">B2_Hinweise!$A$1:$G$581</definedName>
    <definedName name="_xlnm.Print_Area" localSheetId="4">B2_Kalkulation!$A$1:$S$72</definedName>
    <definedName name="_xlnm.Print_Area" localSheetId="5">B2_Personalkostenübersicht!$A$4:$S$383</definedName>
    <definedName name="_xlnm.Print_Area" localSheetId="0">B2_Versionsinfo!$A$1:$E$379</definedName>
    <definedName name="_xlnm.Print_Area" localSheetId="8">Bewohnervertretung!$A$1:$N$64</definedName>
    <definedName name="_xlnm.Print_Area" localSheetId="1">KAT!$A$1</definedName>
    <definedName name="_xlnm.Print_Titles" localSheetId="5">B2_Personalkostenübersicht!$4:$19</definedName>
    <definedName name="_xlnm.Print_Titles" localSheetId="0">B2_Versionsinfo!$5:$5</definedName>
    <definedName name="eeadivisor" localSheetId="7">'B2_Gesamtkalkulation ab XXX'!$F$11</definedName>
    <definedName name="eeadivisor">'B2_Gesamtkalkulation '!$F$11</definedName>
    <definedName name="Z_9119B1A0_FD79_4FE4_B78E_10E0AEB8080B_.wvu.Cols" localSheetId="3" hidden="1">'B2_Allgemeine Angaben'!$O:$T</definedName>
    <definedName name="Z_9119B1A0_FD79_4FE4_B78E_10E0AEB8080B_.wvu.Cols" localSheetId="6" hidden="1">'B2_Gesamtkalkulation '!$E:$G,'B2_Gesamtkalkulation '!$I:$I,'B2_Gesamtkalkulation '!$K:$K,'B2_Gesamtkalkulation '!$M:$M,'B2_Gesamtkalkulation '!$O:$O,'B2_Gesamtkalkulation '!$Q:$Q,'B2_Gesamtkalkulation '!$S:$S,'B2_Gesamtkalkulation '!$U:$U,'B2_Gesamtkalkulation '!$X:$AN</definedName>
    <definedName name="Z_9119B1A0_FD79_4FE4_B78E_10E0AEB8080B_.wvu.Cols" localSheetId="7" hidden="1">'B2_Gesamtkalkulation ab XXX'!$E:$G,'B2_Gesamtkalkulation ab XXX'!$I:$I,'B2_Gesamtkalkulation ab XXX'!$K:$K,'B2_Gesamtkalkulation ab XXX'!$M:$M,'B2_Gesamtkalkulation ab XXX'!$O:$O,'B2_Gesamtkalkulation ab XXX'!$Q:$Q,'B2_Gesamtkalkulation ab XXX'!$S:$S,'B2_Gesamtkalkulation ab XXX'!$U:$U,'B2_Gesamtkalkulation ab XXX'!$X:$AN</definedName>
    <definedName name="Z_9119B1A0_FD79_4FE4_B78E_10E0AEB8080B_.wvu.Cols" localSheetId="4" hidden="1">B2_Kalkulation!$T:$AT</definedName>
    <definedName name="Z_9119B1A0_FD79_4FE4_B78E_10E0AEB8080B_.wvu.PrintArea" localSheetId="3" hidden="1">'B2_Allgemeine Angaben'!$A$1:$N$74</definedName>
    <definedName name="Z_9119B1A0_FD79_4FE4_B78E_10E0AEB8080B_.wvu.PrintArea" localSheetId="6" hidden="1">'B2_Gesamtkalkulation '!$A$1:$W$54</definedName>
    <definedName name="Z_9119B1A0_FD79_4FE4_B78E_10E0AEB8080B_.wvu.PrintArea" localSheetId="7" hidden="1">'B2_Gesamtkalkulation ab XXX'!$A$1:$W$54</definedName>
    <definedName name="Z_9119B1A0_FD79_4FE4_B78E_10E0AEB8080B_.wvu.PrintArea" localSheetId="4" hidden="1">B2_Kalkulation!$A$1:$S$72</definedName>
    <definedName name="Z_9119B1A0_FD79_4FE4_B78E_10E0AEB8080B_.wvu.PrintArea" localSheetId="8" hidden="1">Bewohnervertretung!$A$1:$N$64</definedName>
    <definedName name="Z_9119B1A0_FD79_4FE4_B78E_10E0AEB8080B_.wvu.Rows" localSheetId="6" hidden="1">'B2_Gesamtkalkulation '!$58:$58</definedName>
    <definedName name="Z_9119B1A0_FD79_4FE4_B78E_10E0AEB8080B_.wvu.Rows" localSheetId="7" hidden="1">'B2_Gesamtkalkulation ab XXX'!$58:$58</definedName>
  </definedNames>
  <calcPr calcId="191029"/>
  <customWorkbookViews>
    <customWorkbookView name="Bischoff, Kathrin - Persönliche Ansicht" guid="{9119B1A0-FD79-4FE4-B78E-10E0AEB8080B}" mergeInterval="0" personalView="1" maximized="1" xWindow="-8" yWindow="-8" windowWidth="1936" windowHeight="1056" tabRatio="783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5" l="1"/>
  <c r="F36" i="15"/>
  <c r="C36" i="15"/>
  <c r="B36" i="15"/>
  <c r="L51" i="3" l="1"/>
  <c r="L52" i="3"/>
  <c r="L53" i="3"/>
  <c r="L54" i="3"/>
  <c r="L55" i="3"/>
  <c r="L56" i="3"/>
  <c r="L50" i="3"/>
  <c r="L38" i="3"/>
  <c r="L39" i="3"/>
  <c r="L40" i="3"/>
  <c r="L41" i="3"/>
  <c r="L42" i="3"/>
  <c r="L43" i="3"/>
  <c r="L44" i="3"/>
  <c r="L45" i="3"/>
  <c r="L46" i="3"/>
  <c r="L37" i="3"/>
  <c r="L47" i="3" s="1"/>
  <c r="L55" i="2"/>
  <c r="Q102" i="5" l="1"/>
  <c r="Q101" i="5"/>
  <c r="R101" i="5" s="1"/>
  <c r="P102" i="5"/>
  <c r="P101" i="5"/>
  <c r="E21" i="15"/>
  <c r="E22" i="15"/>
  <c r="E23" i="15"/>
  <c r="E24" i="15"/>
  <c r="E20" i="15"/>
  <c r="H6" i="15"/>
  <c r="G6" i="15"/>
  <c r="F6" i="15"/>
  <c r="F5" i="15"/>
  <c r="H5" i="15" s="1"/>
  <c r="F4" i="15"/>
  <c r="H4" i="15" s="1"/>
  <c r="F3" i="15"/>
  <c r="D107" i="5"/>
  <c r="C107" i="5"/>
  <c r="B107" i="5"/>
  <c r="C104" i="5"/>
  <c r="B104" i="5"/>
  <c r="C7" i="15"/>
  <c r="C11" i="15" s="1"/>
  <c r="C12" i="15" s="1"/>
  <c r="B5" i="15"/>
  <c r="D5" i="15" s="1"/>
  <c r="B4" i="15"/>
  <c r="D4" i="15" s="1"/>
  <c r="B3" i="15"/>
  <c r="D3" i="15" s="1"/>
  <c r="P103" i="5" l="1"/>
  <c r="S101" i="5"/>
  <c r="S102" i="5"/>
  <c r="R102" i="5"/>
  <c r="H3" i="15"/>
  <c r="G3" i="15"/>
  <c r="G7" i="15"/>
  <c r="G11" i="15" s="1"/>
  <c r="G12" i="15" s="1"/>
  <c r="S53" i="14"/>
  <c r="Q53" i="14"/>
  <c r="O53" i="14"/>
  <c r="M53" i="14"/>
  <c r="K53" i="14"/>
  <c r="I53" i="14"/>
  <c r="G53" i="14"/>
  <c r="B53" i="14"/>
  <c r="C45" i="14"/>
  <c r="B45" i="14"/>
  <c r="C44" i="14"/>
  <c r="B44" i="14"/>
  <c r="C43" i="14"/>
  <c r="B43" i="14"/>
  <c r="C42" i="14"/>
  <c r="B42" i="14"/>
  <c r="C41" i="14"/>
  <c r="B41" i="14"/>
  <c r="C40" i="14"/>
  <c r="B40" i="14"/>
  <c r="B39" i="14"/>
  <c r="P10" i="14"/>
  <c r="N10" i="14"/>
  <c r="L10" i="14"/>
  <c r="J10" i="14"/>
  <c r="H10" i="14"/>
  <c r="L6" i="14"/>
  <c r="J6" i="14"/>
  <c r="D6" i="14"/>
  <c r="A1" i="14"/>
  <c r="AT34" i="9"/>
  <c r="AT33" i="9"/>
  <c r="AT32" i="9"/>
  <c r="AT31" i="9"/>
  <c r="AT30" i="9"/>
  <c r="AT21" i="9"/>
  <c r="AV23" i="9" s="1"/>
  <c r="AP110" i="9"/>
  <c r="AP111" i="9"/>
  <c r="AP112" i="9"/>
  <c r="AP113" i="9"/>
  <c r="AP114" i="9"/>
  <c r="AP115" i="9"/>
  <c r="AP116" i="9"/>
  <c r="AP117" i="9"/>
  <c r="AP118" i="9"/>
  <c r="AP119" i="9"/>
  <c r="AP120" i="9"/>
  <c r="AP121" i="9"/>
  <c r="AP1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43" i="9"/>
  <c r="AP44" i="9"/>
  <c r="AP45" i="9"/>
  <c r="AP46" i="9"/>
  <c r="AP47" i="9"/>
  <c r="AP48" i="9"/>
  <c r="AP49" i="9"/>
  <c r="AP50" i="9"/>
  <c r="AP51" i="9"/>
  <c r="AP52" i="9"/>
  <c r="AP53" i="9"/>
  <c r="AP54" i="9"/>
  <c r="AP55" i="9"/>
  <c r="AP56" i="9"/>
  <c r="AP57" i="9"/>
  <c r="AP58" i="9"/>
  <c r="AP59" i="9"/>
  <c r="AP60" i="9"/>
  <c r="AP61" i="9"/>
  <c r="AP62" i="9"/>
  <c r="AP63" i="9"/>
  <c r="AP64" i="9"/>
  <c r="AP65" i="9"/>
  <c r="AP66" i="9"/>
  <c r="AP67" i="9"/>
  <c r="AP68" i="9"/>
  <c r="AP69" i="9"/>
  <c r="AP70" i="9"/>
  <c r="AP71" i="9"/>
  <c r="AP72" i="9"/>
  <c r="AP73" i="9"/>
  <c r="AP74" i="9"/>
  <c r="AP75" i="9"/>
  <c r="AP76" i="9"/>
  <c r="AP77" i="9"/>
  <c r="AP78" i="9"/>
  <c r="AP79" i="9"/>
  <c r="AP80" i="9"/>
  <c r="AP81" i="9"/>
  <c r="AP82" i="9"/>
  <c r="AP83" i="9"/>
  <c r="AP84" i="9"/>
  <c r="AP85" i="9"/>
  <c r="AP86" i="9"/>
  <c r="AP87" i="9"/>
  <c r="AP88" i="9"/>
  <c r="AP89" i="9"/>
  <c r="AP90" i="9"/>
  <c r="AP91" i="9"/>
  <c r="AP92" i="9"/>
  <c r="AP93" i="9"/>
  <c r="AP94" i="9"/>
  <c r="AP95" i="9"/>
  <c r="AP96" i="9"/>
  <c r="AP97" i="9"/>
  <c r="AP98" i="9"/>
  <c r="AP99" i="9"/>
  <c r="AP100" i="9"/>
  <c r="AP101" i="9"/>
  <c r="AP102" i="9"/>
  <c r="AP103" i="9"/>
  <c r="AP104" i="9"/>
  <c r="AP105" i="9"/>
  <c r="AP106" i="9"/>
  <c r="AP107" i="9"/>
  <c r="AP108" i="9"/>
  <c r="AP109" i="9"/>
  <c r="AP22" i="9"/>
  <c r="L41" i="10" l="1"/>
  <c r="R103" i="5"/>
  <c r="L19" i="3" s="1"/>
  <c r="T103" i="5"/>
  <c r="L20" i="3" s="1"/>
  <c r="AP244" i="9"/>
  <c r="E10" i="14"/>
  <c r="AZ30" i="9"/>
  <c r="AX30" i="9"/>
  <c r="AV30" i="9"/>
  <c r="AZ31" i="9"/>
  <c r="AX31" i="9"/>
  <c r="AV31" i="9"/>
  <c r="AZ32" i="9"/>
  <c r="AX32" i="9"/>
  <c r="AV32" i="9"/>
  <c r="AZ33" i="9"/>
  <c r="AX33" i="9"/>
  <c r="AV33" i="9"/>
  <c r="AZ34" i="9"/>
  <c r="AX34" i="9"/>
  <c r="AV34" i="9"/>
  <c r="P6" i="14"/>
  <c r="N6" i="14"/>
  <c r="H11" i="14"/>
  <c r="J11" i="14"/>
  <c r="L11" i="14"/>
  <c r="N11" i="14"/>
  <c r="P11" i="14"/>
  <c r="AV35" i="9" l="1"/>
  <c r="AX35" i="9"/>
  <c r="F11" i="14"/>
  <c r="E11" i="14"/>
  <c r="AZ35" i="9"/>
  <c r="BA35" i="9" l="1"/>
  <c r="D241" i="13"/>
  <c r="C244" i="9" l="1"/>
  <c r="N11" i="3" l="1"/>
  <c r="N10" i="3"/>
  <c r="G111" i="9"/>
  <c r="R111" i="9" s="1"/>
  <c r="U111" i="9"/>
  <c r="V111" i="9"/>
  <c r="W111" i="9"/>
  <c r="X111" i="9"/>
  <c r="Y111" i="9"/>
  <c r="Z111" i="9"/>
  <c r="AA111" i="9"/>
  <c r="AB111" i="9"/>
  <c r="AC111" i="9"/>
  <c r="AD111" i="9"/>
  <c r="AE111" i="9"/>
  <c r="AF111" i="9"/>
  <c r="AG111" i="9"/>
  <c r="AH111" i="9"/>
  <c r="AI111" i="9"/>
  <c r="AJ111" i="9"/>
  <c r="AK111" i="9"/>
  <c r="AL111" i="9"/>
  <c r="G112" i="9"/>
  <c r="R112" i="9" s="1"/>
  <c r="U112" i="9"/>
  <c r="V112" i="9"/>
  <c r="W112" i="9"/>
  <c r="X112" i="9"/>
  <c r="Y112" i="9"/>
  <c r="Z112" i="9"/>
  <c r="AA112" i="9"/>
  <c r="AB112" i="9"/>
  <c r="AC112" i="9"/>
  <c r="AD112" i="9"/>
  <c r="AE112" i="9"/>
  <c r="AF112" i="9"/>
  <c r="AG112" i="9"/>
  <c r="AH112" i="9"/>
  <c r="AI112" i="9"/>
  <c r="AJ112" i="9"/>
  <c r="AK112" i="9"/>
  <c r="AL112" i="9"/>
  <c r="G113" i="9"/>
  <c r="R113" i="9" s="1"/>
  <c r="U113" i="9"/>
  <c r="V113" i="9"/>
  <c r="W113" i="9"/>
  <c r="X113" i="9"/>
  <c r="Y113" i="9"/>
  <c r="Z113" i="9"/>
  <c r="AA113" i="9"/>
  <c r="AB113" i="9"/>
  <c r="AC113" i="9"/>
  <c r="AD113" i="9"/>
  <c r="AE113" i="9"/>
  <c r="AF113" i="9"/>
  <c r="AG113" i="9"/>
  <c r="AH113" i="9"/>
  <c r="AI113" i="9"/>
  <c r="AJ113" i="9"/>
  <c r="AK113" i="9"/>
  <c r="AL113" i="9"/>
  <c r="G114" i="9"/>
  <c r="R114" i="9" s="1"/>
  <c r="U114" i="9"/>
  <c r="V114" i="9"/>
  <c r="W114" i="9"/>
  <c r="X114" i="9"/>
  <c r="Y114" i="9"/>
  <c r="Z114" i="9"/>
  <c r="AA114" i="9"/>
  <c r="AB114" i="9"/>
  <c r="AC114" i="9"/>
  <c r="AD114" i="9"/>
  <c r="AE114" i="9"/>
  <c r="AF114" i="9"/>
  <c r="AG114" i="9"/>
  <c r="AH114" i="9"/>
  <c r="AI114" i="9"/>
  <c r="AJ114" i="9"/>
  <c r="AK114" i="9"/>
  <c r="AL114" i="9"/>
  <c r="G115" i="9"/>
  <c r="R115" i="9" s="1"/>
  <c r="U115" i="9"/>
  <c r="V115" i="9"/>
  <c r="W115" i="9"/>
  <c r="X115" i="9"/>
  <c r="Y115" i="9"/>
  <c r="Z115" i="9"/>
  <c r="AA115" i="9"/>
  <c r="AB115" i="9"/>
  <c r="AC115" i="9"/>
  <c r="AD115" i="9"/>
  <c r="AE115" i="9"/>
  <c r="AF115" i="9"/>
  <c r="AG115" i="9"/>
  <c r="AH115" i="9"/>
  <c r="AI115" i="9"/>
  <c r="AJ115" i="9"/>
  <c r="AK115" i="9"/>
  <c r="AL115" i="9"/>
  <c r="G116" i="9"/>
  <c r="R116" i="9" s="1"/>
  <c r="U116" i="9"/>
  <c r="V116" i="9"/>
  <c r="W116" i="9"/>
  <c r="X116" i="9"/>
  <c r="Y116" i="9"/>
  <c r="Z116" i="9"/>
  <c r="AA116" i="9"/>
  <c r="AB116" i="9"/>
  <c r="AC116" i="9"/>
  <c r="AD116" i="9"/>
  <c r="AE116" i="9"/>
  <c r="AF116" i="9"/>
  <c r="AG116" i="9"/>
  <c r="AH116" i="9"/>
  <c r="AI116" i="9"/>
  <c r="AJ116" i="9"/>
  <c r="AK116" i="9"/>
  <c r="AL116" i="9"/>
  <c r="G117" i="9"/>
  <c r="R117" i="9" s="1"/>
  <c r="U117" i="9"/>
  <c r="V117" i="9"/>
  <c r="W117" i="9"/>
  <c r="X117" i="9"/>
  <c r="Y117" i="9"/>
  <c r="Z117" i="9"/>
  <c r="AA117" i="9"/>
  <c r="AB117" i="9"/>
  <c r="AC117" i="9"/>
  <c r="AD117" i="9"/>
  <c r="AE117" i="9"/>
  <c r="AF117" i="9"/>
  <c r="AG117" i="9"/>
  <c r="AH117" i="9"/>
  <c r="AI117" i="9"/>
  <c r="AJ117" i="9"/>
  <c r="AK117" i="9"/>
  <c r="AL117" i="9"/>
  <c r="G233" i="9"/>
  <c r="R233" i="9" s="1"/>
  <c r="U233" i="9"/>
  <c r="V233" i="9"/>
  <c r="W233" i="9"/>
  <c r="X233" i="9"/>
  <c r="Y233" i="9"/>
  <c r="Z233" i="9"/>
  <c r="AA233" i="9"/>
  <c r="AB233" i="9"/>
  <c r="AC233" i="9"/>
  <c r="AD233" i="9"/>
  <c r="AE233" i="9"/>
  <c r="AF233" i="9"/>
  <c r="AG233" i="9"/>
  <c r="AP233" i="9" s="1"/>
  <c r="AH233" i="9"/>
  <c r="AQ233" i="9" s="1"/>
  <c r="AI233" i="9"/>
  <c r="AR233" i="9" s="1"/>
  <c r="AJ233" i="9"/>
  <c r="AK233" i="9"/>
  <c r="AL233" i="9"/>
  <c r="G234" i="9"/>
  <c r="R234" i="9" s="1"/>
  <c r="U234" i="9"/>
  <c r="V234" i="9"/>
  <c r="W234" i="9"/>
  <c r="X234" i="9"/>
  <c r="Y234" i="9"/>
  <c r="Z234" i="9"/>
  <c r="AA234" i="9"/>
  <c r="AB234" i="9"/>
  <c r="AC234" i="9"/>
  <c r="AD234" i="9"/>
  <c r="AE234" i="9"/>
  <c r="AF234" i="9"/>
  <c r="AG234" i="9"/>
  <c r="AP234" i="9" s="1"/>
  <c r="AH234" i="9"/>
  <c r="AQ234" i="9" s="1"/>
  <c r="AI234" i="9"/>
  <c r="AR234" i="9" s="1"/>
  <c r="AJ234" i="9"/>
  <c r="AK234" i="9"/>
  <c r="AL234" i="9"/>
  <c r="G235" i="9"/>
  <c r="R235" i="9" s="1"/>
  <c r="U235" i="9"/>
  <c r="V235" i="9"/>
  <c r="W235" i="9"/>
  <c r="X235" i="9"/>
  <c r="Y235" i="9"/>
  <c r="Z235" i="9"/>
  <c r="AA235" i="9"/>
  <c r="AB235" i="9"/>
  <c r="AC235" i="9"/>
  <c r="AD235" i="9"/>
  <c r="AE235" i="9"/>
  <c r="AF235" i="9"/>
  <c r="AG235" i="9"/>
  <c r="AP235" i="9" s="1"/>
  <c r="AH235" i="9"/>
  <c r="AQ235" i="9" s="1"/>
  <c r="AI235" i="9"/>
  <c r="AR235" i="9" s="1"/>
  <c r="AJ235" i="9"/>
  <c r="AK235" i="9"/>
  <c r="AL235" i="9"/>
  <c r="G236" i="9"/>
  <c r="R236" i="9" s="1"/>
  <c r="U236" i="9"/>
  <c r="V236" i="9"/>
  <c r="W236" i="9"/>
  <c r="X236" i="9"/>
  <c r="Y236" i="9"/>
  <c r="Z236" i="9"/>
  <c r="AA236" i="9"/>
  <c r="AB236" i="9"/>
  <c r="AC236" i="9"/>
  <c r="AD236" i="9"/>
  <c r="AE236" i="9"/>
  <c r="AF236" i="9"/>
  <c r="AG236" i="9"/>
  <c r="AP236" i="9" s="1"/>
  <c r="AH236" i="9"/>
  <c r="AQ236" i="9" s="1"/>
  <c r="AI236" i="9"/>
  <c r="AR236" i="9" s="1"/>
  <c r="AJ236" i="9"/>
  <c r="AK236" i="9"/>
  <c r="AL236" i="9"/>
  <c r="G237" i="9"/>
  <c r="R237" i="9" s="1"/>
  <c r="U237" i="9"/>
  <c r="V237" i="9"/>
  <c r="W237" i="9"/>
  <c r="X237" i="9"/>
  <c r="Y237" i="9"/>
  <c r="Z237" i="9"/>
  <c r="AA237" i="9"/>
  <c r="AB237" i="9"/>
  <c r="AC237" i="9"/>
  <c r="AD237" i="9"/>
  <c r="AE237" i="9"/>
  <c r="AF237" i="9"/>
  <c r="AG237" i="9"/>
  <c r="AP237" i="9" s="1"/>
  <c r="AH237" i="9"/>
  <c r="AQ237" i="9" s="1"/>
  <c r="AI237" i="9"/>
  <c r="AR237" i="9" s="1"/>
  <c r="AJ237" i="9"/>
  <c r="AK237" i="9"/>
  <c r="AL237" i="9"/>
  <c r="G238" i="9"/>
  <c r="R238" i="9" s="1"/>
  <c r="U238" i="9"/>
  <c r="V238" i="9"/>
  <c r="W238" i="9"/>
  <c r="X238" i="9"/>
  <c r="Y238" i="9"/>
  <c r="Z238" i="9"/>
  <c r="AA238" i="9"/>
  <c r="AB238" i="9"/>
  <c r="AC238" i="9"/>
  <c r="AD238" i="9"/>
  <c r="AE238" i="9"/>
  <c r="AF238" i="9"/>
  <c r="AG238" i="9"/>
  <c r="AP238" i="9" s="1"/>
  <c r="AH238" i="9"/>
  <c r="AQ238" i="9" s="1"/>
  <c r="AI238" i="9"/>
  <c r="AR238" i="9" s="1"/>
  <c r="AJ238" i="9"/>
  <c r="AK238" i="9"/>
  <c r="AL238" i="9"/>
  <c r="G225" i="9"/>
  <c r="R225" i="9" s="1"/>
  <c r="U225" i="9"/>
  <c r="V225" i="9"/>
  <c r="W225" i="9"/>
  <c r="X225" i="9"/>
  <c r="Y225" i="9"/>
  <c r="Z225" i="9"/>
  <c r="AA225" i="9"/>
  <c r="AB225" i="9"/>
  <c r="AC225" i="9"/>
  <c r="AD225" i="9"/>
  <c r="AE225" i="9"/>
  <c r="AF225" i="9"/>
  <c r="AG225" i="9"/>
  <c r="AP225" i="9" s="1"/>
  <c r="AH225" i="9"/>
  <c r="AQ225" i="9" s="1"/>
  <c r="AI225" i="9"/>
  <c r="AR225" i="9" s="1"/>
  <c r="AJ225" i="9"/>
  <c r="AK225" i="9"/>
  <c r="AL225" i="9"/>
  <c r="G226" i="9"/>
  <c r="R226" i="9" s="1"/>
  <c r="U226" i="9"/>
  <c r="V226" i="9"/>
  <c r="W226" i="9"/>
  <c r="X226" i="9"/>
  <c r="Y226" i="9"/>
  <c r="Z226" i="9"/>
  <c r="AA226" i="9"/>
  <c r="AB226" i="9"/>
  <c r="AC226" i="9"/>
  <c r="AD226" i="9"/>
  <c r="AE226" i="9"/>
  <c r="AF226" i="9"/>
  <c r="AG226" i="9"/>
  <c r="AP226" i="9" s="1"/>
  <c r="AH226" i="9"/>
  <c r="AQ226" i="9" s="1"/>
  <c r="AI226" i="9"/>
  <c r="AR226" i="9" s="1"/>
  <c r="AJ226" i="9"/>
  <c r="AK226" i="9"/>
  <c r="AL226" i="9"/>
  <c r="G227" i="9"/>
  <c r="R227" i="9" s="1"/>
  <c r="U227" i="9"/>
  <c r="V227" i="9"/>
  <c r="W227" i="9"/>
  <c r="X227" i="9"/>
  <c r="Y227" i="9"/>
  <c r="Z227" i="9"/>
  <c r="AA227" i="9"/>
  <c r="AB227" i="9"/>
  <c r="AC227" i="9"/>
  <c r="AD227" i="9"/>
  <c r="AE227" i="9"/>
  <c r="AF227" i="9"/>
  <c r="AG227" i="9"/>
  <c r="AP227" i="9" s="1"/>
  <c r="AH227" i="9"/>
  <c r="AQ227" i="9" s="1"/>
  <c r="AI227" i="9"/>
  <c r="AR227" i="9" s="1"/>
  <c r="AJ227" i="9"/>
  <c r="AK227" i="9"/>
  <c r="AL227" i="9"/>
  <c r="G228" i="9"/>
  <c r="R228" i="9" s="1"/>
  <c r="U228" i="9"/>
  <c r="V228" i="9"/>
  <c r="W228" i="9"/>
  <c r="X228" i="9"/>
  <c r="Y228" i="9"/>
  <c r="Z228" i="9"/>
  <c r="AA228" i="9"/>
  <c r="AB228" i="9"/>
  <c r="AC228" i="9"/>
  <c r="AD228" i="9"/>
  <c r="AE228" i="9"/>
  <c r="AF228" i="9"/>
  <c r="AG228" i="9"/>
  <c r="AP228" i="9" s="1"/>
  <c r="AH228" i="9"/>
  <c r="AQ228" i="9" s="1"/>
  <c r="AI228" i="9"/>
  <c r="AR228" i="9" s="1"/>
  <c r="AJ228" i="9"/>
  <c r="AK228" i="9"/>
  <c r="AL228" i="9"/>
  <c r="G229" i="9"/>
  <c r="R229" i="9" s="1"/>
  <c r="U229" i="9"/>
  <c r="V229" i="9"/>
  <c r="W229" i="9"/>
  <c r="X229" i="9"/>
  <c r="Y229" i="9"/>
  <c r="Z229" i="9"/>
  <c r="AA229" i="9"/>
  <c r="AB229" i="9"/>
  <c r="AC229" i="9"/>
  <c r="AD229" i="9"/>
  <c r="AE229" i="9"/>
  <c r="AF229" i="9"/>
  <c r="AG229" i="9"/>
  <c r="AP229" i="9" s="1"/>
  <c r="AH229" i="9"/>
  <c r="AQ229" i="9" s="1"/>
  <c r="AI229" i="9"/>
  <c r="AR229" i="9" s="1"/>
  <c r="AJ229" i="9"/>
  <c r="AK229" i="9"/>
  <c r="AL229" i="9"/>
  <c r="G230" i="9"/>
  <c r="R230" i="9" s="1"/>
  <c r="U230" i="9"/>
  <c r="V230" i="9"/>
  <c r="W230" i="9"/>
  <c r="X230" i="9"/>
  <c r="Y230" i="9"/>
  <c r="Z230" i="9"/>
  <c r="AA230" i="9"/>
  <c r="AB230" i="9"/>
  <c r="AC230" i="9"/>
  <c r="AD230" i="9"/>
  <c r="AE230" i="9"/>
  <c r="AF230" i="9"/>
  <c r="AG230" i="9"/>
  <c r="AP230" i="9" s="1"/>
  <c r="AH230" i="9"/>
  <c r="AQ230" i="9" s="1"/>
  <c r="AI230" i="9"/>
  <c r="AR230" i="9" s="1"/>
  <c r="AJ230" i="9"/>
  <c r="AK230" i="9"/>
  <c r="AL230" i="9"/>
  <c r="G231" i="9"/>
  <c r="R231" i="9" s="1"/>
  <c r="U231" i="9"/>
  <c r="V231" i="9"/>
  <c r="W231" i="9"/>
  <c r="X231" i="9"/>
  <c r="Y231" i="9"/>
  <c r="Z231" i="9"/>
  <c r="AA231" i="9"/>
  <c r="AB231" i="9"/>
  <c r="AC231" i="9"/>
  <c r="AD231" i="9"/>
  <c r="AE231" i="9"/>
  <c r="AF231" i="9"/>
  <c r="AG231" i="9"/>
  <c r="AP231" i="9" s="1"/>
  <c r="AH231" i="9"/>
  <c r="AQ231" i="9" s="1"/>
  <c r="AI231" i="9"/>
  <c r="AR231" i="9" s="1"/>
  <c r="AJ231" i="9"/>
  <c r="AK231" i="9"/>
  <c r="AL231" i="9"/>
  <c r="G232" i="9"/>
  <c r="R232" i="9" s="1"/>
  <c r="U232" i="9"/>
  <c r="V232" i="9"/>
  <c r="W232" i="9"/>
  <c r="X232" i="9"/>
  <c r="Y232" i="9"/>
  <c r="Z232" i="9"/>
  <c r="AA232" i="9"/>
  <c r="AB232" i="9"/>
  <c r="AC232" i="9"/>
  <c r="AD232" i="9"/>
  <c r="AE232" i="9"/>
  <c r="AF232" i="9"/>
  <c r="AG232" i="9"/>
  <c r="AP232" i="9" s="1"/>
  <c r="AH232" i="9"/>
  <c r="AQ232" i="9" s="1"/>
  <c r="AI232" i="9"/>
  <c r="AR232" i="9" s="1"/>
  <c r="AJ232" i="9"/>
  <c r="AK232" i="9"/>
  <c r="AL232" i="9"/>
  <c r="L53" i="2"/>
  <c r="I371" i="9"/>
  <c r="C128" i="9"/>
  <c r="L128" i="9" s="1"/>
  <c r="S231" i="9" l="1"/>
  <c r="S117" i="9"/>
  <c r="S116" i="9"/>
  <c r="S113" i="9"/>
  <c r="S229" i="9"/>
  <c r="S115" i="9"/>
  <c r="S228" i="9"/>
  <c r="S114" i="9"/>
  <c r="S227" i="9"/>
  <c r="S226" i="9"/>
  <c r="S225" i="9"/>
  <c r="S112" i="9"/>
  <c r="S238" i="9"/>
  <c r="S237" i="9"/>
  <c r="S111" i="9"/>
  <c r="S236" i="9"/>
  <c r="S235" i="9"/>
  <c r="S234" i="9"/>
  <c r="S233" i="9"/>
  <c r="S230" i="9"/>
  <c r="S232" i="9"/>
  <c r="I128" i="9"/>
  <c r="J128" i="9"/>
  <c r="K128" i="9"/>
  <c r="H128" i="9"/>
  <c r="Q244" i="9" l="1"/>
  <c r="U110" i="9"/>
  <c r="M13" i="5"/>
  <c r="M12" i="5"/>
  <c r="M11" i="5"/>
  <c r="M10" i="5"/>
  <c r="M9" i="5"/>
  <c r="L14" i="5"/>
  <c r="K14" i="5"/>
  <c r="J14" i="5"/>
  <c r="O10" i="5" l="1"/>
  <c r="P10" i="5"/>
  <c r="N10" i="5"/>
  <c r="O11" i="5"/>
  <c r="P11" i="5"/>
  <c r="N11" i="5"/>
  <c r="N12" i="5"/>
  <c r="O12" i="5"/>
  <c r="P12" i="5"/>
  <c r="N13" i="5"/>
  <c r="O13" i="5"/>
  <c r="P13" i="5"/>
  <c r="P9" i="5"/>
  <c r="O9" i="5"/>
  <c r="N9" i="5"/>
  <c r="M14" i="5"/>
  <c r="P128" i="9"/>
  <c r="Q128" i="9"/>
  <c r="L244" i="9"/>
  <c r="J244" i="9"/>
  <c r="I244" i="9"/>
  <c r="M244" i="9"/>
  <c r="M128" i="9"/>
  <c r="N128" i="9"/>
  <c r="N244" i="9"/>
  <c r="H244" i="9"/>
  <c r="K244" i="9"/>
  <c r="O244" i="9"/>
  <c r="P244" i="9"/>
  <c r="O128" i="9"/>
  <c r="J4" i="5"/>
  <c r="O14" i="5" l="1"/>
  <c r="K375" i="9" s="1"/>
  <c r="P14" i="5"/>
  <c r="L375" i="9" s="1"/>
  <c r="N14" i="5"/>
  <c r="J375" i="9" s="1"/>
  <c r="B106" i="5"/>
  <c r="B105" i="5"/>
  <c r="N7" i="12" l="1"/>
  <c r="N11" i="12" s="1"/>
  <c r="N12" i="12" s="1"/>
  <c r="K5" i="12"/>
  <c r="J5" i="12"/>
  <c r="K4" i="12"/>
  <c r="J4" i="12"/>
  <c r="K3" i="12"/>
  <c r="J3" i="12"/>
  <c r="J7" i="12" l="1"/>
  <c r="J11" i="12" s="1"/>
  <c r="J12" i="12" s="1"/>
  <c r="B53" i="4" l="1"/>
  <c r="C3" i="10" l="1"/>
  <c r="E3" i="10" s="1"/>
  <c r="F3" i="10"/>
  <c r="K46" i="2" l="1"/>
  <c r="K45" i="2" l="1"/>
  <c r="C7" i="3" l="1"/>
  <c r="F7" i="3" s="1"/>
  <c r="A1" i="1" l="1"/>
  <c r="A54" i="1" s="1"/>
  <c r="A107" i="1" s="1"/>
  <c r="A160" i="1" s="1"/>
  <c r="A213" i="1" s="1"/>
  <c r="A266" i="1" s="1"/>
  <c r="A319" i="1" s="1"/>
  <c r="A372" i="1" s="1"/>
  <c r="A425" i="1" s="1"/>
  <c r="A478" i="1" s="1"/>
  <c r="C4" i="12" l="1"/>
  <c r="C5" i="12"/>
  <c r="C3" i="12"/>
  <c r="C7" i="12" s="1"/>
  <c r="C11" i="12" s="1"/>
  <c r="C12" i="12" s="1"/>
  <c r="K68" i="2" l="1"/>
  <c r="D27" i="14"/>
  <c r="D40" i="14"/>
  <c r="D42" i="14"/>
  <c r="D43" i="14"/>
  <c r="D44" i="14"/>
  <c r="D45" i="14"/>
  <c r="D39" i="14"/>
  <c r="D35" i="14"/>
  <c r="D36" i="14"/>
  <c r="B35" i="10"/>
  <c r="A1" i="10"/>
  <c r="B81" i="5"/>
  <c r="C81" i="5"/>
  <c r="B82" i="5"/>
  <c r="C82" i="5"/>
  <c r="B83" i="5"/>
  <c r="C83" i="5"/>
  <c r="B84" i="5"/>
  <c r="C84" i="5"/>
  <c r="B85" i="5"/>
  <c r="D85" i="5" s="1"/>
  <c r="C85" i="5"/>
  <c r="O27" i="3"/>
  <c r="C28" i="10" s="1"/>
  <c r="I29" i="3"/>
  <c r="O29" i="3" s="1"/>
  <c r="D28" i="10" s="1"/>
  <c r="I30" i="3"/>
  <c r="E27" i="10" s="1"/>
  <c r="I31" i="3"/>
  <c r="O31" i="3" s="1"/>
  <c r="F28" i="10" s="1"/>
  <c r="I32" i="3"/>
  <c r="O32" i="3" s="1"/>
  <c r="G28" i="10" s="1"/>
  <c r="O34" i="3"/>
  <c r="D7" i="2"/>
  <c r="C122" i="5" s="1"/>
  <c r="B165" i="5"/>
  <c r="B166" i="5"/>
  <c r="C167" i="5"/>
  <c r="B153" i="5"/>
  <c r="B154" i="5" s="1"/>
  <c r="C155" i="5"/>
  <c r="C120" i="5"/>
  <c r="C143" i="5"/>
  <c r="B141" i="5"/>
  <c r="B142" i="5" s="1"/>
  <c r="K122" i="5"/>
  <c r="J122" i="5"/>
  <c r="G7" i="2"/>
  <c r="G331" i="9"/>
  <c r="R331" i="9" s="1"/>
  <c r="AC331" i="9"/>
  <c r="C361" i="9"/>
  <c r="B118" i="5"/>
  <c r="B119" i="5" s="1"/>
  <c r="G298" i="9"/>
  <c r="R298" i="9" s="1"/>
  <c r="C328" i="9"/>
  <c r="L33" i="3"/>
  <c r="D24" i="14" s="1"/>
  <c r="B5" i="9"/>
  <c r="O5" i="9"/>
  <c r="N5" i="9"/>
  <c r="G108" i="5"/>
  <c r="G112" i="5" s="1"/>
  <c r="G113" i="5"/>
  <c r="U332" i="9"/>
  <c r="V332" i="9"/>
  <c r="W332" i="9"/>
  <c r="X332" i="9"/>
  <c r="Y332" i="9"/>
  <c r="Z332" i="9"/>
  <c r="AA332" i="9"/>
  <c r="AB332" i="9"/>
  <c r="AC332" i="9"/>
  <c r="AD332" i="9"/>
  <c r="AE332" i="9"/>
  <c r="AF332" i="9"/>
  <c r="AG332" i="9"/>
  <c r="AH332" i="9"/>
  <c r="AI332" i="9"/>
  <c r="AJ332" i="9"/>
  <c r="AK332" i="9"/>
  <c r="AL332" i="9"/>
  <c r="U333" i="9"/>
  <c r="V333" i="9"/>
  <c r="W333" i="9"/>
  <c r="X333" i="9"/>
  <c r="Y333" i="9"/>
  <c r="Z333" i="9"/>
  <c r="AA333" i="9"/>
  <c r="AB333" i="9"/>
  <c r="AC333" i="9"/>
  <c r="AD333" i="9"/>
  <c r="AE333" i="9"/>
  <c r="AF333" i="9"/>
  <c r="AG333" i="9"/>
  <c r="AH333" i="9"/>
  <c r="AI333" i="9"/>
  <c r="AJ333" i="9"/>
  <c r="AK333" i="9"/>
  <c r="AL333" i="9"/>
  <c r="U334" i="9"/>
  <c r="V334" i="9"/>
  <c r="W334" i="9"/>
  <c r="X334" i="9"/>
  <c r="Y334" i="9"/>
  <c r="Z334" i="9"/>
  <c r="AA334" i="9"/>
  <c r="AB334" i="9"/>
  <c r="AC334" i="9"/>
  <c r="AD334" i="9"/>
  <c r="AE334" i="9"/>
  <c r="AF334" i="9"/>
  <c r="AG334" i="9"/>
  <c r="AH334" i="9"/>
  <c r="AI334" i="9"/>
  <c r="AJ334" i="9"/>
  <c r="AK334" i="9"/>
  <c r="AL334" i="9"/>
  <c r="U335" i="9"/>
  <c r="V335" i="9"/>
  <c r="W335" i="9"/>
  <c r="X335" i="9"/>
  <c r="Y335" i="9"/>
  <c r="Z335" i="9"/>
  <c r="AA335" i="9"/>
  <c r="AB335" i="9"/>
  <c r="AC335" i="9"/>
  <c r="AD335" i="9"/>
  <c r="AE335" i="9"/>
  <c r="AF335" i="9"/>
  <c r="AG335" i="9"/>
  <c r="AH335" i="9"/>
  <c r="AI335" i="9"/>
  <c r="AJ335" i="9"/>
  <c r="AK335" i="9"/>
  <c r="AL335" i="9"/>
  <c r="U336" i="9"/>
  <c r="V336" i="9"/>
  <c r="W336" i="9"/>
  <c r="X336" i="9"/>
  <c r="Y336" i="9"/>
  <c r="Z336" i="9"/>
  <c r="AA336" i="9"/>
  <c r="AB336" i="9"/>
  <c r="AC336" i="9"/>
  <c r="AD336" i="9"/>
  <c r="AE336" i="9"/>
  <c r="AF336" i="9"/>
  <c r="AG336" i="9"/>
  <c r="AH336" i="9"/>
  <c r="AI336" i="9"/>
  <c r="AJ336" i="9"/>
  <c r="AK336" i="9"/>
  <c r="AL336" i="9"/>
  <c r="U337" i="9"/>
  <c r="V337" i="9"/>
  <c r="W337" i="9"/>
  <c r="X337" i="9"/>
  <c r="Y337" i="9"/>
  <c r="Z337" i="9"/>
  <c r="AA337" i="9"/>
  <c r="AB337" i="9"/>
  <c r="AC337" i="9"/>
  <c r="AD337" i="9"/>
  <c r="AE337" i="9"/>
  <c r="AF337" i="9"/>
  <c r="AG337" i="9"/>
  <c r="AH337" i="9"/>
  <c r="AI337" i="9"/>
  <c r="AJ337" i="9"/>
  <c r="AK337" i="9"/>
  <c r="AL337" i="9"/>
  <c r="U338" i="9"/>
  <c r="V338" i="9"/>
  <c r="W338" i="9"/>
  <c r="X338" i="9"/>
  <c r="Y338" i="9"/>
  <c r="Z338" i="9"/>
  <c r="AA338" i="9"/>
  <c r="AB338" i="9"/>
  <c r="AC338" i="9"/>
  <c r="AD338" i="9"/>
  <c r="AE338" i="9"/>
  <c r="AF338" i="9"/>
  <c r="AG338" i="9"/>
  <c r="AH338" i="9"/>
  <c r="AI338" i="9"/>
  <c r="AJ338" i="9"/>
  <c r="AK338" i="9"/>
  <c r="AL338" i="9"/>
  <c r="U339" i="9"/>
  <c r="V339" i="9"/>
  <c r="W339" i="9"/>
  <c r="X339" i="9"/>
  <c r="Y339" i="9"/>
  <c r="Z339" i="9"/>
  <c r="AA339" i="9"/>
  <c r="AB339" i="9"/>
  <c r="AC339" i="9"/>
  <c r="AD339" i="9"/>
  <c r="AE339" i="9"/>
  <c r="AF339" i="9"/>
  <c r="AG339" i="9"/>
  <c r="AH339" i="9"/>
  <c r="AI339" i="9"/>
  <c r="AJ339" i="9"/>
  <c r="AK339" i="9"/>
  <c r="AL339" i="9"/>
  <c r="U340" i="9"/>
  <c r="V340" i="9"/>
  <c r="W340" i="9"/>
  <c r="X340" i="9"/>
  <c r="Y340" i="9"/>
  <c r="Z340" i="9"/>
  <c r="AA340" i="9"/>
  <c r="AB340" i="9"/>
  <c r="AC340" i="9"/>
  <c r="AD340" i="9"/>
  <c r="AE340" i="9"/>
  <c r="AF340" i="9"/>
  <c r="AG340" i="9"/>
  <c r="AH340" i="9"/>
  <c r="AI340" i="9"/>
  <c r="AJ340" i="9"/>
  <c r="AK340" i="9"/>
  <c r="AL340" i="9"/>
  <c r="U341" i="9"/>
  <c r="V341" i="9"/>
  <c r="W341" i="9"/>
  <c r="X341" i="9"/>
  <c r="Y341" i="9"/>
  <c r="Z341" i="9"/>
  <c r="AA341" i="9"/>
  <c r="AB341" i="9"/>
  <c r="AC341" i="9"/>
  <c r="AD341" i="9"/>
  <c r="AE341" i="9"/>
  <c r="AF341" i="9"/>
  <c r="AG341" i="9"/>
  <c r="AH341" i="9"/>
  <c r="AI341" i="9"/>
  <c r="AJ341" i="9"/>
  <c r="AK341" i="9"/>
  <c r="AL341" i="9"/>
  <c r="U342" i="9"/>
  <c r="V342" i="9"/>
  <c r="W342" i="9"/>
  <c r="X342" i="9"/>
  <c r="Y342" i="9"/>
  <c r="Z342" i="9"/>
  <c r="AA342" i="9"/>
  <c r="AB342" i="9"/>
  <c r="AC342" i="9"/>
  <c r="AD342" i="9"/>
  <c r="AE342" i="9"/>
  <c r="AF342" i="9"/>
  <c r="AG342" i="9"/>
  <c r="AH342" i="9"/>
  <c r="AI342" i="9"/>
  <c r="AJ342" i="9"/>
  <c r="AK342" i="9"/>
  <c r="AL342" i="9"/>
  <c r="U343" i="9"/>
  <c r="V343" i="9"/>
  <c r="W343" i="9"/>
  <c r="X343" i="9"/>
  <c r="Y343" i="9"/>
  <c r="Z343" i="9"/>
  <c r="AA343" i="9"/>
  <c r="AB343" i="9"/>
  <c r="AC343" i="9"/>
  <c r="AD343" i="9"/>
  <c r="AE343" i="9"/>
  <c r="AF343" i="9"/>
  <c r="AG343" i="9"/>
  <c r="AH343" i="9"/>
  <c r="AI343" i="9"/>
  <c r="AJ343" i="9"/>
  <c r="AK343" i="9"/>
  <c r="AL343" i="9"/>
  <c r="U344" i="9"/>
  <c r="V344" i="9"/>
  <c r="W344" i="9"/>
  <c r="X344" i="9"/>
  <c r="Y344" i="9"/>
  <c r="Z344" i="9"/>
  <c r="AA344" i="9"/>
  <c r="AB344" i="9"/>
  <c r="AC344" i="9"/>
  <c r="AD344" i="9"/>
  <c r="AE344" i="9"/>
  <c r="AF344" i="9"/>
  <c r="AG344" i="9"/>
  <c r="AH344" i="9"/>
  <c r="AI344" i="9"/>
  <c r="AJ344" i="9"/>
  <c r="AK344" i="9"/>
  <c r="AL344" i="9"/>
  <c r="U345" i="9"/>
  <c r="V345" i="9"/>
  <c r="W345" i="9"/>
  <c r="X345" i="9"/>
  <c r="Y345" i="9"/>
  <c r="Z345" i="9"/>
  <c r="AA345" i="9"/>
  <c r="AB345" i="9"/>
  <c r="AC345" i="9"/>
  <c r="AD345" i="9"/>
  <c r="AE345" i="9"/>
  <c r="AF345" i="9"/>
  <c r="AG345" i="9"/>
  <c r="AH345" i="9"/>
  <c r="AI345" i="9"/>
  <c r="AJ345" i="9"/>
  <c r="AK345" i="9"/>
  <c r="AL345" i="9"/>
  <c r="U346" i="9"/>
  <c r="V346" i="9"/>
  <c r="W346" i="9"/>
  <c r="X346" i="9"/>
  <c r="Y346" i="9"/>
  <c r="Z346" i="9"/>
  <c r="AA346" i="9"/>
  <c r="AB346" i="9"/>
  <c r="AC346" i="9"/>
  <c r="AD346" i="9"/>
  <c r="AE346" i="9"/>
  <c r="AF346" i="9"/>
  <c r="AG346" i="9"/>
  <c r="AH346" i="9"/>
  <c r="AI346" i="9"/>
  <c r="AJ346" i="9"/>
  <c r="AK346" i="9"/>
  <c r="AL346" i="9"/>
  <c r="U347" i="9"/>
  <c r="V347" i="9"/>
  <c r="W347" i="9"/>
  <c r="X347" i="9"/>
  <c r="Y347" i="9"/>
  <c r="Z347" i="9"/>
  <c r="AA347" i="9"/>
  <c r="AB347" i="9"/>
  <c r="AC347" i="9"/>
  <c r="AD347" i="9"/>
  <c r="AE347" i="9"/>
  <c r="AF347" i="9"/>
  <c r="AG347" i="9"/>
  <c r="AH347" i="9"/>
  <c r="AI347" i="9"/>
  <c r="AJ347" i="9"/>
  <c r="AK347" i="9"/>
  <c r="AL347" i="9"/>
  <c r="U348" i="9"/>
  <c r="V348" i="9"/>
  <c r="W348" i="9"/>
  <c r="X348" i="9"/>
  <c r="Y348" i="9"/>
  <c r="Z348" i="9"/>
  <c r="AA348" i="9"/>
  <c r="AB348" i="9"/>
  <c r="AC348" i="9"/>
  <c r="AD348" i="9"/>
  <c r="AE348" i="9"/>
  <c r="AF348" i="9"/>
  <c r="AG348" i="9"/>
  <c r="AH348" i="9"/>
  <c r="AI348" i="9"/>
  <c r="AJ348" i="9"/>
  <c r="AK348" i="9"/>
  <c r="AL348" i="9"/>
  <c r="U349" i="9"/>
  <c r="V349" i="9"/>
  <c r="W349" i="9"/>
  <c r="X349" i="9"/>
  <c r="Y349" i="9"/>
  <c r="Z349" i="9"/>
  <c r="AA349" i="9"/>
  <c r="AB349" i="9"/>
  <c r="AC349" i="9"/>
  <c r="AD349" i="9"/>
  <c r="AE349" i="9"/>
  <c r="AF349" i="9"/>
  <c r="AG349" i="9"/>
  <c r="AH349" i="9"/>
  <c r="AI349" i="9"/>
  <c r="AJ349" i="9"/>
  <c r="AK349" i="9"/>
  <c r="AL349" i="9"/>
  <c r="U350" i="9"/>
  <c r="V350" i="9"/>
  <c r="W350" i="9"/>
  <c r="X350" i="9"/>
  <c r="Y350" i="9"/>
  <c r="Z350" i="9"/>
  <c r="AA350" i="9"/>
  <c r="AB350" i="9"/>
  <c r="AC350" i="9"/>
  <c r="AD350" i="9"/>
  <c r="AE350" i="9"/>
  <c r="AF350" i="9"/>
  <c r="AG350" i="9"/>
  <c r="AH350" i="9"/>
  <c r="AI350" i="9"/>
  <c r="AJ350" i="9"/>
  <c r="AK350" i="9"/>
  <c r="AL350" i="9"/>
  <c r="U351" i="9"/>
  <c r="V351" i="9"/>
  <c r="W351" i="9"/>
  <c r="X351" i="9"/>
  <c r="Y351" i="9"/>
  <c r="Z351" i="9"/>
  <c r="AA351" i="9"/>
  <c r="AB351" i="9"/>
  <c r="AC351" i="9"/>
  <c r="AD351" i="9"/>
  <c r="AE351" i="9"/>
  <c r="AF351" i="9"/>
  <c r="AG351" i="9"/>
  <c r="AH351" i="9"/>
  <c r="AI351" i="9"/>
  <c r="AJ351" i="9"/>
  <c r="AK351" i="9"/>
  <c r="AL351" i="9"/>
  <c r="U352" i="9"/>
  <c r="V352" i="9"/>
  <c r="W352" i="9"/>
  <c r="X352" i="9"/>
  <c r="Y352" i="9"/>
  <c r="Z352" i="9"/>
  <c r="AA352" i="9"/>
  <c r="AB352" i="9"/>
  <c r="AC352" i="9"/>
  <c r="AD352" i="9"/>
  <c r="AE352" i="9"/>
  <c r="AF352" i="9"/>
  <c r="AG352" i="9"/>
  <c r="AH352" i="9"/>
  <c r="AI352" i="9"/>
  <c r="AJ352" i="9"/>
  <c r="AK352" i="9"/>
  <c r="AL352" i="9"/>
  <c r="U353" i="9"/>
  <c r="V353" i="9"/>
  <c r="W353" i="9"/>
  <c r="X353" i="9"/>
  <c r="Y353" i="9"/>
  <c r="Z353" i="9"/>
  <c r="AA353" i="9"/>
  <c r="AB353" i="9"/>
  <c r="AC353" i="9"/>
  <c r="AD353" i="9"/>
  <c r="AE353" i="9"/>
  <c r="AF353" i="9"/>
  <c r="AG353" i="9"/>
  <c r="AH353" i="9"/>
  <c r="AI353" i="9"/>
  <c r="AJ353" i="9"/>
  <c r="AK353" i="9"/>
  <c r="AL353" i="9"/>
  <c r="U354" i="9"/>
  <c r="V354" i="9"/>
  <c r="W354" i="9"/>
  <c r="X354" i="9"/>
  <c r="Y354" i="9"/>
  <c r="Z354" i="9"/>
  <c r="AA354" i="9"/>
  <c r="AB354" i="9"/>
  <c r="AC354" i="9"/>
  <c r="AD354" i="9"/>
  <c r="AE354" i="9"/>
  <c r="AF354" i="9"/>
  <c r="AG354" i="9"/>
  <c r="AH354" i="9"/>
  <c r="AI354" i="9"/>
  <c r="AJ354" i="9"/>
  <c r="AK354" i="9"/>
  <c r="AL354" i="9"/>
  <c r="U355" i="9"/>
  <c r="V355" i="9"/>
  <c r="W355" i="9"/>
  <c r="X355" i="9"/>
  <c r="Y355" i="9"/>
  <c r="Z355" i="9"/>
  <c r="AA355" i="9"/>
  <c r="AB355" i="9"/>
  <c r="AC355" i="9"/>
  <c r="AD355" i="9"/>
  <c r="AE355" i="9"/>
  <c r="AF355" i="9"/>
  <c r="AG355" i="9"/>
  <c r="AH355" i="9"/>
  <c r="AI355" i="9"/>
  <c r="AJ355" i="9"/>
  <c r="AK355" i="9"/>
  <c r="AL355" i="9"/>
  <c r="U356" i="9"/>
  <c r="V356" i="9"/>
  <c r="W356" i="9"/>
  <c r="X356" i="9"/>
  <c r="Y356" i="9"/>
  <c r="Z356" i="9"/>
  <c r="AA356" i="9"/>
  <c r="AB356" i="9"/>
  <c r="AC356" i="9"/>
  <c r="AD356" i="9"/>
  <c r="AE356" i="9"/>
  <c r="AF356" i="9"/>
  <c r="AG356" i="9"/>
  <c r="AH356" i="9"/>
  <c r="AI356" i="9"/>
  <c r="AJ356" i="9"/>
  <c r="AK356" i="9"/>
  <c r="AL356" i="9"/>
  <c r="U357" i="9"/>
  <c r="V357" i="9"/>
  <c r="W357" i="9"/>
  <c r="X357" i="9"/>
  <c r="Y357" i="9"/>
  <c r="Z357" i="9"/>
  <c r="AA357" i="9"/>
  <c r="AB357" i="9"/>
  <c r="AC357" i="9"/>
  <c r="AD357" i="9"/>
  <c r="AE357" i="9"/>
  <c r="AF357" i="9"/>
  <c r="AG357" i="9"/>
  <c r="AH357" i="9"/>
  <c r="AI357" i="9"/>
  <c r="AJ357" i="9"/>
  <c r="AK357" i="9"/>
  <c r="AL357" i="9"/>
  <c r="U358" i="9"/>
  <c r="V358" i="9"/>
  <c r="W358" i="9"/>
  <c r="X358" i="9"/>
  <c r="Y358" i="9"/>
  <c r="Z358" i="9"/>
  <c r="AA358" i="9"/>
  <c r="AB358" i="9"/>
  <c r="AC358" i="9"/>
  <c r="AD358" i="9"/>
  <c r="AE358" i="9"/>
  <c r="AF358" i="9"/>
  <c r="AG358" i="9"/>
  <c r="AH358" i="9"/>
  <c r="AI358" i="9"/>
  <c r="AJ358" i="9"/>
  <c r="AK358" i="9"/>
  <c r="AL358" i="9"/>
  <c r="U359" i="9"/>
  <c r="V359" i="9"/>
  <c r="W359" i="9"/>
  <c r="X359" i="9"/>
  <c r="Y359" i="9"/>
  <c r="Z359" i="9"/>
  <c r="AA359" i="9"/>
  <c r="AB359" i="9"/>
  <c r="AC359" i="9"/>
  <c r="AD359" i="9"/>
  <c r="AE359" i="9"/>
  <c r="AF359" i="9"/>
  <c r="AG359" i="9"/>
  <c r="AH359" i="9"/>
  <c r="AI359" i="9"/>
  <c r="AJ359" i="9"/>
  <c r="AK359" i="9"/>
  <c r="AL359" i="9"/>
  <c r="U360" i="9"/>
  <c r="V360" i="9"/>
  <c r="W360" i="9"/>
  <c r="X360" i="9"/>
  <c r="Y360" i="9"/>
  <c r="Z360" i="9"/>
  <c r="AA360" i="9"/>
  <c r="AB360" i="9"/>
  <c r="AC360" i="9"/>
  <c r="AD360" i="9"/>
  <c r="AE360" i="9"/>
  <c r="AF360" i="9"/>
  <c r="AG360" i="9"/>
  <c r="AH360" i="9"/>
  <c r="AI360" i="9"/>
  <c r="AJ360" i="9"/>
  <c r="AK360" i="9"/>
  <c r="AL360" i="9"/>
  <c r="AJ331" i="9"/>
  <c r="AI331" i="9"/>
  <c r="AH331" i="9"/>
  <c r="AG331" i="9"/>
  <c r="AF331" i="9"/>
  <c r="AE331" i="9"/>
  <c r="AD331" i="9"/>
  <c r="AB331" i="9"/>
  <c r="AA331" i="9"/>
  <c r="Z331" i="9"/>
  <c r="X331" i="9"/>
  <c r="W331" i="9"/>
  <c r="V331" i="9"/>
  <c r="U331" i="9"/>
  <c r="U299" i="9"/>
  <c r="V299" i="9"/>
  <c r="W299" i="9"/>
  <c r="X299" i="9"/>
  <c r="Y299" i="9"/>
  <c r="Z299" i="9"/>
  <c r="AA299" i="9"/>
  <c r="AB299" i="9"/>
  <c r="AC299" i="9"/>
  <c r="AD299" i="9"/>
  <c r="AE299" i="9"/>
  <c r="AF299" i="9"/>
  <c r="AG299" i="9"/>
  <c r="AH299" i="9"/>
  <c r="AI299" i="9"/>
  <c r="AJ299" i="9"/>
  <c r="AK299" i="9"/>
  <c r="AL299" i="9"/>
  <c r="U300" i="9"/>
  <c r="V300" i="9"/>
  <c r="W300" i="9"/>
  <c r="X300" i="9"/>
  <c r="Y300" i="9"/>
  <c r="Z300" i="9"/>
  <c r="AA300" i="9"/>
  <c r="AB300" i="9"/>
  <c r="AC300" i="9"/>
  <c r="AD300" i="9"/>
  <c r="AE300" i="9"/>
  <c r="AF300" i="9"/>
  <c r="AG300" i="9"/>
  <c r="AH300" i="9"/>
  <c r="AI300" i="9"/>
  <c r="AJ300" i="9"/>
  <c r="AK300" i="9"/>
  <c r="AL300" i="9"/>
  <c r="U301" i="9"/>
  <c r="V301" i="9"/>
  <c r="W301" i="9"/>
  <c r="X301" i="9"/>
  <c r="Y301" i="9"/>
  <c r="Z301" i="9"/>
  <c r="AA301" i="9"/>
  <c r="AB301" i="9"/>
  <c r="AC301" i="9"/>
  <c r="AD301" i="9"/>
  <c r="AE301" i="9"/>
  <c r="AF301" i="9"/>
  <c r="AG301" i="9"/>
  <c r="AH301" i="9"/>
  <c r="AI301" i="9"/>
  <c r="AJ301" i="9"/>
  <c r="AK301" i="9"/>
  <c r="AL301" i="9"/>
  <c r="U302" i="9"/>
  <c r="V302" i="9"/>
  <c r="W302" i="9"/>
  <c r="X302" i="9"/>
  <c r="Y302" i="9"/>
  <c r="Z302" i="9"/>
  <c r="AA302" i="9"/>
  <c r="AB302" i="9"/>
  <c r="AC302" i="9"/>
  <c r="AD302" i="9"/>
  <c r="AE302" i="9"/>
  <c r="AF302" i="9"/>
  <c r="AG302" i="9"/>
  <c r="AH302" i="9"/>
  <c r="AI302" i="9"/>
  <c r="AJ302" i="9"/>
  <c r="AK302" i="9"/>
  <c r="AL302" i="9"/>
  <c r="U303" i="9"/>
  <c r="V303" i="9"/>
  <c r="W303" i="9"/>
  <c r="X303" i="9"/>
  <c r="Y303" i="9"/>
  <c r="Z303" i="9"/>
  <c r="AA303" i="9"/>
  <c r="AB303" i="9"/>
  <c r="AC303" i="9"/>
  <c r="AD303" i="9"/>
  <c r="AE303" i="9"/>
  <c r="AF303" i="9"/>
  <c r="AG303" i="9"/>
  <c r="AH303" i="9"/>
  <c r="AI303" i="9"/>
  <c r="AJ303" i="9"/>
  <c r="AK303" i="9"/>
  <c r="AL303" i="9"/>
  <c r="U304" i="9"/>
  <c r="V304" i="9"/>
  <c r="W304" i="9"/>
  <c r="X304" i="9"/>
  <c r="Y304" i="9"/>
  <c r="Z304" i="9"/>
  <c r="AA304" i="9"/>
  <c r="AB304" i="9"/>
  <c r="AC304" i="9"/>
  <c r="AD304" i="9"/>
  <c r="AE304" i="9"/>
  <c r="AF304" i="9"/>
  <c r="AG304" i="9"/>
  <c r="AH304" i="9"/>
  <c r="AI304" i="9"/>
  <c r="AJ304" i="9"/>
  <c r="AK304" i="9"/>
  <c r="AL304" i="9"/>
  <c r="U305" i="9"/>
  <c r="V305" i="9"/>
  <c r="W305" i="9"/>
  <c r="X305" i="9"/>
  <c r="Y305" i="9"/>
  <c r="Z305" i="9"/>
  <c r="AA305" i="9"/>
  <c r="AB305" i="9"/>
  <c r="AC305" i="9"/>
  <c r="AD305" i="9"/>
  <c r="AE305" i="9"/>
  <c r="AF305" i="9"/>
  <c r="AG305" i="9"/>
  <c r="AH305" i="9"/>
  <c r="AI305" i="9"/>
  <c r="AJ305" i="9"/>
  <c r="AK305" i="9"/>
  <c r="AL305" i="9"/>
  <c r="U306" i="9"/>
  <c r="V306" i="9"/>
  <c r="W306" i="9"/>
  <c r="X306" i="9"/>
  <c r="Y306" i="9"/>
  <c r="Z306" i="9"/>
  <c r="AA306" i="9"/>
  <c r="AB306" i="9"/>
  <c r="AC306" i="9"/>
  <c r="AD306" i="9"/>
  <c r="AE306" i="9"/>
  <c r="AF306" i="9"/>
  <c r="AG306" i="9"/>
  <c r="AH306" i="9"/>
  <c r="AI306" i="9"/>
  <c r="AJ306" i="9"/>
  <c r="AK306" i="9"/>
  <c r="AL306" i="9"/>
  <c r="U307" i="9"/>
  <c r="V307" i="9"/>
  <c r="W307" i="9"/>
  <c r="X307" i="9"/>
  <c r="Y307" i="9"/>
  <c r="Z307" i="9"/>
  <c r="AA307" i="9"/>
  <c r="AB307" i="9"/>
  <c r="AC307" i="9"/>
  <c r="AD307" i="9"/>
  <c r="AE307" i="9"/>
  <c r="AF307" i="9"/>
  <c r="AG307" i="9"/>
  <c r="AH307" i="9"/>
  <c r="AI307" i="9"/>
  <c r="AJ307" i="9"/>
  <c r="AK307" i="9"/>
  <c r="AL307" i="9"/>
  <c r="U308" i="9"/>
  <c r="V308" i="9"/>
  <c r="W308" i="9"/>
  <c r="X308" i="9"/>
  <c r="Y308" i="9"/>
  <c r="Z308" i="9"/>
  <c r="AA308" i="9"/>
  <c r="AB308" i="9"/>
  <c r="AC308" i="9"/>
  <c r="AD308" i="9"/>
  <c r="AE308" i="9"/>
  <c r="AF308" i="9"/>
  <c r="AG308" i="9"/>
  <c r="AH308" i="9"/>
  <c r="AI308" i="9"/>
  <c r="AJ308" i="9"/>
  <c r="AK308" i="9"/>
  <c r="AL308" i="9"/>
  <c r="U309" i="9"/>
  <c r="V309" i="9"/>
  <c r="W309" i="9"/>
  <c r="X309" i="9"/>
  <c r="Y309" i="9"/>
  <c r="Z309" i="9"/>
  <c r="AA309" i="9"/>
  <c r="AB309" i="9"/>
  <c r="AC309" i="9"/>
  <c r="AD309" i="9"/>
  <c r="AE309" i="9"/>
  <c r="AF309" i="9"/>
  <c r="AG309" i="9"/>
  <c r="AH309" i="9"/>
  <c r="AI309" i="9"/>
  <c r="AJ309" i="9"/>
  <c r="AK309" i="9"/>
  <c r="AL309" i="9"/>
  <c r="U310" i="9"/>
  <c r="V310" i="9"/>
  <c r="W310" i="9"/>
  <c r="X310" i="9"/>
  <c r="Y310" i="9"/>
  <c r="Z310" i="9"/>
  <c r="AA310" i="9"/>
  <c r="AB310" i="9"/>
  <c r="AC310" i="9"/>
  <c r="AD310" i="9"/>
  <c r="AE310" i="9"/>
  <c r="AF310" i="9"/>
  <c r="AG310" i="9"/>
  <c r="AH310" i="9"/>
  <c r="AI310" i="9"/>
  <c r="AJ310" i="9"/>
  <c r="AK310" i="9"/>
  <c r="AL310" i="9"/>
  <c r="U311" i="9"/>
  <c r="V311" i="9"/>
  <c r="W311" i="9"/>
  <c r="X311" i="9"/>
  <c r="Y311" i="9"/>
  <c r="Z311" i="9"/>
  <c r="AA311" i="9"/>
  <c r="AB311" i="9"/>
  <c r="AC311" i="9"/>
  <c r="AD311" i="9"/>
  <c r="AE311" i="9"/>
  <c r="AF311" i="9"/>
  <c r="AG311" i="9"/>
  <c r="AH311" i="9"/>
  <c r="AI311" i="9"/>
  <c r="AJ311" i="9"/>
  <c r="AK311" i="9"/>
  <c r="AL311" i="9"/>
  <c r="U312" i="9"/>
  <c r="V312" i="9"/>
  <c r="W312" i="9"/>
  <c r="X312" i="9"/>
  <c r="Y312" i="9"/>
  <c r="Z312" i="9"/>
  <c r="AA312" i="9"/>
  <c r="AB312" i="9"/>
  <c r="AC312" i="9"/>
  <c r="AD312" i="9"/>
  <c r="AE312" i="9"/>
  <c r="AF312" i="9"/>
  <c r="AG312" i="9"/>
  <c r="AH312" i="9"/>
  <c r="AI312" i="9"/>
  <c r="AJ312" i="9"/>
  <c r="AK312" i="9"/>
  <c r="AL312" i="9"/>
  <c r="U313" i="9"/>
  <c r="V313" i="9"/>
  <c r="W313" i="9"/>
  <c r="X313" i="9"/>
  <c r="Y313" i="9"/>
  <c r="Z313" i="9"/>
  <c r="AA313" i="9"/>
  <c r="AB313" i="9"/>
  <c r="AC313" i="9"/>
  <c r="AD313" i="9"/>
  <c r="AE313" i="9"/>
  <c r="AF313" i="9"/>
  <c r="AG313" i="9"/>
  <c r="AH313" i="9"/>
  <c r="AI313" i="9"/>
  <c r="AJ313" i="9"/>
  <c r="AK313" i="9"/>
  <c r="AL313" i="9"/>
  <c r="U314" i="9"/>
  <c r="V314" i="9"/>
  <c r="W314" i="9"/>
  <c r="X314" i="9"/>
  <c r="Y314" i="9"/>
  <c r="Z314" i="9"/>
  <c r="AA314" i="9"/>
  <c r="AB314" i="9"/>
  <c r="AC314" i="9"/>
  <c r="AD314" i="9"/>
  <c r="AE314" i="9"/>
  <c r="AF314" i="9"/>
  <c r="AG314" i="9"/>
  <c r="AH314" i="9"/>
  <c r="AI314" i="9"/>
  <c r="AJ314" i="9"/>
  <c r="AK314" i="9"/>
  <c r="AL314" i="9"/>
  <c r="U315" i="9"/>
  <c r="V315" i="9"/>
  <c r="W315" i="9"/>
  <c r="X315" i="9"/>
  <c r="Y315" i="9"/>
  <c r="Z315" i="9"/>
  <c r="AA315" i="9"/>
  <c r="AB315" i="9"/>
  <c r="AC315" i="9"/>
  <c r="AD315" i="9"/>
  <c r="AE315" i="9"/>
  <c r="AF315" i="9"/>
  <c r="AG315" i="9"/>
  <c r="AH315" i="9"/>
  <c r="AI315" i="9"/>
  <c r="AJ315" i="9"/>
  <c r="AK315" i="9"/>
  <c r="AL315" i="9"/>
  <c r="U316" i="9"/>
  <c r="V316" i="9"/>
  <c r="W316" i="9"/>
  <c r="X316" i="9"/>
  <c r="Y316" i="9"/>
  <c r="Z316" i="9"/>
  <c r="AA316" i="9"/>
  <c r="AB316" i="9"/>
  <c r="AC316" i="9"/>
  <c r="AD316" i="9"/>
  <c r="AE316" i="9"/>
  <c r="AF316" i="9"/>
  <c r="AG316" i="9"/>
  <c r="AH316" i="9"/>
  <c r="AI316" i="9"/>
  <c r="AJ316" i="9"/>
  <c r="AK316" i="9"/>
  <c r="AL316" i="9"/>
  <c r="U317" i="9"/>
  <c r="V317" i="9"/>
  <c r="W317" i="9"/>
  <c r="X317" i="9"/>
  <c r="Y317" i="9"/>
  <c r="Z317" i="9"/>
  <c r="AA317" i="9"/>
  <c r="AB317" i="9"/>
  <c r="AC317" i="9"/>
  <c r="AD317" i="9"/>
  <c r="AE317" i="9"/>
  <c r="AF317" i="9"/>
  <c r="AG317" i="9"/>
  <c r="AH317" i="9"/>
  <c r="AI317" i="9"/>
  <c r="AJ317" i="9"/>
  <c r="AK317" i="9"/>
  <c r="AL317" i="9"/>
  <c r="U318" i="9"/>
  <c r="V318" i="9"/>
  <c r="W318" i="9"/>
  <c r="X318" i="9"/>
  <c r="Y318" i="9"/>
  <c r="Z318" i="9"/>
  <c r="AA318" i="9"/>
  <c r="AB318" i="9"/>
  <c r="AC318" i="9"/>
  <c r="AD318" i="9"/>
  <c r="AE318" i="9"/>
  <c r="AF318" i="9"/>
  <c r="AG318" i="9"/>
  <c r="AH318" i="9"/>
  <c r="AI318" i="9"/>
  <c r="AJ318" i="9"/>
  <c r="AK318" i="9"/>
  <c r="AL318" i="9"/>
  <c r="U319" i="9"/>
  <c r="V319" i="9"/>
  <c r="W319" i="9"/>
  <c r="X319" i="9"/>
  <c r="Y319" i="9"/>
  <c r="Z319" i="9"/>
  <c r="AA319" i="9"/>
  <c r="AB319" i="9"/>
  <c r="AC319" i="9"/>
  <c r="AD319" i="9"/>
  <c r="AE319" i="9"/>
  <c r="AF319" i="9"/>
  <c r="AG319" i="9"/>
  <c r="AH319" i="9"/>
  <c r="AI319" i="9"/>
  <c r="AJ319" i="9"/>
  <c r="AK319" i="9"/>
  <c r="AL319" i="9"/>
  <c r="U320" i="9"/>
  <c r="V320" i="9"/>
  <c r="W320" i="9"/>
  <c r="X320" i="9"/>
  <c r="Y320" i="9"/>
  <c r="Z320" i="9"/>
  <c r="AA320" i="9"/>
  <c r="AB320" i="9"/>
  <c r="AC320" i="9"/>
  <c r="AD320" i="9"/>
  <c r="AE320" i="9"/>
  <c r="AF320" i="9"/>
  <c r="AG320" i="9"/>
  <c r="AH320" i="9"/>
  <c r="AI320" i="9"/>
  <c r="AJ320" i="9"/>
  <c r="AK320" i="9"/>
  <c r="AL320" i="9"/>
  <c r="U321" i="9"/>
  <c r="V321" i="9"/>
  <c r="W321" i="9"/>
  <c r="X321" i="9"/>
  <c r="Y321" i="9"/>
  <c r="Z321" i="9"/>
  <c r="AA321" i="9"/>
  <c r="AB321" i="9"/>
  <c r="AC321" i="9"/>
  <c r="AD321" i="9"/>
  <c r="AE321" i="9"/>
  <c r="AF321" i="9"/>
  <c r="AG321" i="9"/>
  <c r="AH321" i="9"/>
  <c r="AI321" i="9"/>
  <c r="AJ321" i="9"/>
  <c r="AK321" i="9"/>
  <c r="AL321" i="9"/>
  <c r="U322" i="9"/>
  <c r="V322" i="9"/>
  <c r="W322" i="9"/>
  <c r="X322" i="9"/>
  <c r="Y322" i="9"/>
  <c r="Z322" i="9"/>
  <c r="AA322" i="9"/>
  <c r="AB322" i="9"/>
  <c r="AC322" i="9"/>
  <c r="AD322" i="9"/>
  <c r="AE322" i="9"/>
  <c r="AF322" i="9"/>
  <c r="AG322" i="9"/>
  <c r="AH322" i="9"/>
  <c r="AI322" i="9"/>
  <c r="AJ322" i="9"/>
  <c r="AK322" i="9"/>
  <c r="AL322" i="9"/>
  <c r="U323" i="9"/>
  <c r="V323" i="9"/>
  <c r="W323" i="9"/>
  <c r="X323" i="9"/>
  <c r="Y323" i="9"/>
  <c r="Z323" i="9"/>
  <c r="AA323" i="9"/>
  <c r="AB323" i="9"/>
  <c r="AC323" i="9"/>
  <c r="AD323" i="9"/>
  <c r="AE323" i="9"/>
  <c r="AF323" i="9"/>
  <c r="AG323" i="9"/>
  <c r="AH323" i="9"/>
  <c r="AI323" i="9"/>
  <c r="AJ323" i="9"/>
  <c r="AK323" i="9"/>
  <c r="AL323" i="9"/>
  <c r="U324" i="9"/>
  <c r="V324" i="9"/>
  <c r="W324" i="9"/>
  <c r="X324" i="9"/>
  <c r="Y324" i="9"/>
  <c r="Z324" i="9"/>
  <c r="AA324" i="9"/>
  <c r="AB324" i="9"/>
  <c r="AC324" i="9"/>
  <c r="AD324" i="9"/>
  <c r="AE324" i="9"/>
  <c r="AF324" i="9"/>
  <c r="AG324" i="9"/>
  <c r="AH324" i="9"/>
  <c r="AI324" i="9"/>
  <c r="AJ324" i="9"/>
  <c r="AK324" i="9"/>
  <c r="AL324" i="9"/>
  <c r="U325" i="9"/>
  <c r="V325" i="9"/>
  <c r="W325" i="9"/>
  <c r="X325" i="9"/>
  <c r="Y325" i="9"/>
  <c r="Z325" i="9"/>
  <c r="AA325" i="9"/>
  <c r="AB325" i="9"/>
  <c r="AC325" i="9"/>
  <c r="AD325" i="9"/>
  <c r="AE325" i="9"/>
  <c r="AF325" i="9"/>
  <c r="AG325" i="9"/>
  <c r="AH325" i="9"/>
  <c r="AI325" i="9"/>
  <c r="AJ325" i="9"/>
  <c r="AK325" i="9"/>
  <c r="AL325" i="9"/>
  <c r="U326" i="9"/>
  <c r="V326" i="9"/>
  <c r="W326" i="9"/>
  <c r="X326" i="9"/>
  <c r="Y326" i="9"/>
  <c r="Z326" i="9"/>
  <c r="AA326" i="9"/>
  <c r="AB326" i="9"/>
  <c r="AC326" i="9"/>
  <c r="AD326" i="9"/>
  <c r="AE326" i="9"/>
  <c r="AF326" i="9"/>
  <c r="AG326" i="9"/>
  <c r="AH326" i="9"/>
  <c r="AI326" i="9"/>
  <c r="AJ326" i="9"/>
  <c r="AK326" i="9"/>
  <c r="AL326" i="9"/>
  <c r="U327" i="9"/>
  <c r="V327" i="9"/>
  <c r="W327" i="9"/>
  <c r="X327" i="9"/>
  <c r="Y327" i="9"/>
  <c r="Z327" i="9"/>
  <c r="AA327" i="9"/>
  <c r="AB327" i="9"/>
  <c r="AC327" i="9"/>
  <c r="AD327" i="9"/>
  <c r="AE327" i="9"/>
  <c r="AF327" i="9"/>
  <c r="AG327" i="9"/>
  <c r="AH327" i="9"/>
  <c r="AI327" i="9"/>
  <c r="AJ327" i="9"/>
  <c r="AK327" i="9"/>
  <c r="AL327" i="9"/>
  <c r="AL298" i="9"/>
  <c r="AK298" i="9"/>
  <c r="AJ298" i="9"/>
  <c r="AI298" i="9"/>
  <c r="AH298" i="9"/>
  <c r="AG298" i="9"/>
  <c r="AF298" i="9"/>
  <c r="AE298" i="9"/>
  <c r="AD298" i="9"/>
  <c r="AC298" i="9"/>
  <c r="AB298" i="9"/>
  <c r="AA298" i="9"/>
  <c r="Z298" i="9"/>
  <c r="Y298" i="9"/>
  <c r="X298" i="9"/>
  <c r="W298" i="9"/>
  <c r="V298" i="9"/>
  <c r="U298" i="9"/>
  <c r="U271" i="9"/>
  <c r="V271" i="9"/>
  <c r="W271" i="9"/>
  <c r="X271" i="9"/>
  <c r="Y271" i="9"/>
  <c r="Z271" i="9"/>
  <c r="AA271" i="9"/>
  <c r="AB271" i="9"/>
  <c r="AC271" i="9"/>
  <c r="AD271" i="9"/>
  <c r="AE271" i="9"/>
  <c r="AF271" i="9"/>
  <c r="AG271" i="9"/>
  <c r="AH271" i="9"/>
  <c r="AI271" i="9"/>
  <c r="AJ271" i="9"/>
  <c r="AK271" i="9"/>
  <c r="AL271" i="9"/>
  <c r="U272" i="9"/>
  <c r="V272" i="9"/>
  <c r="W272" i="9"/>
  <c r="X272" i="9"/>
  <c r="Y272" i="9"/>
  <c r="Z272" i="9"/>
  <c r="AA272" i="9"/>
  <c r="AB272" i="9"/>
  <c r="AC272" i="9"/>
  <c r="AD272" i="9"/>
  <c r="AE272" i="9"/>
  <c r="AF272" i="9"/>
  <c r="AG272" i="9"/>
  <c r="AH272" i="9"/>
  <c r="AI272" i="9"/>
  <c r="AJ272" i="9"/>
  <c r="AK272" i="9"/>
  <c r="AL272" i="9"/>
  <c r="U273" i="9"/>
  <c r="V273" i="9"/>
  <c r="W273" i="9"/>
  <c r="X273" i="9"/>
  <c r="Y273" i="9"/>
  <c r="Z273" i="9"/>
  <c r="AA273" i="9"/>
  <c r="AB273" i="9"/>
  <c r="AC273" i="9"/>
  <c r="AD273" i="9"/>
  <c r="AE273" i="9"/>
  <c r="AF273" i="9"/>
  <c r="AG273" i="9"/>
  <c r="AH273" i="9"/>
  <c r="AI273" i="9"/>
  <c r="AJ273" i="9"/>
  <c r="AK273" i="9"/>
  <c r="AL273" i="9"/>
  <c r="U274" i="9"/>
  <c r="V274" i="9"/>
  <c r="W274" i="9"/>
  <c r="X274" i="9"/>
  <c r="Y274" i="9"/>
  <c r="Z274" i="9"/>
  <c r="AA274" i="9"/>
  <c r="AB274" i="9"/>
  <c r="AC274" i="9"/>
  <c r="AD274" i="9"/>
  <c r="AE274" i="9"/>
  <c r="AF274" i="9"/>
  <c r="AG274" i="9"/>
  <c r="AH274" i="9"/>
  <c r="AI274" i="9"/>
  <c r="AJ274" i="9"/>
  <c r="AK274" i="9"/>
  <c r="AL274" i="9"/>
  <c r="U275" i="9"/>
  <c r="V275" i="9"/>
  <c r="W275" i="9"/>
  <c r="X275" i="9"/>
  <c r="Y275" i="9"/>
  <c r="Z275" i="9"/>
  <c r="AA275" i="9"/>
  <c r="AB275" i="9"/>
  <c r="AC275" i="9"/>
  <c r="AD275" i="9"/>
  <c r="AE275" i="9"/>
  <c r="AF275" i="9"/>
  <c r="AG275" i="9"/>
  <c r="AH275" i="9"/>
  <c r="AI275" i="9"/>
  <c r="AJ275" i="9"/>
  <c r="AK275" i="9"/>
  <c r="AL275" i="9"/>
  <c r="U276" i="9"/>
  <c r="V276" i="9"/>
  <c r="W276" i="9"/>
  <c r="X276" i="9"/>
  <c r="Y276" i="9"/>
  <c r="Z276" i="9"/>
  <c r="AA276" i="9"/>
  <c r="AB276" i="9"/>
  <c r="AC276" i="9"/>
  <c r="AD276" i="9"/>
  <c r="AE276" i="9"/>
  <c r="AF276" i="9"/>
  <c r="AG276" i="9"/>
  <c r="AH276" i="9"/>
  <c r="AI276" i="9"/>
  <c r="AJ276" i="9"/>
  <c r="AK276" i="9"/>
  <c r="AL276" i="9"/>
  <c r="U277" i="9"/>
  <c r="V277" i="9"/>
  <c r="W277" i="9"/>
  <c r="X277" i="9"/>
  <c r="Y277" i="9"/>
  <c r="Z277" i="9"/>
  <c r="AA277" i="9"/>
  <c r="AB277" i="9"/>
  <c r="AC277" i="9"/>
  <c r="AD277" i="9"/>
  <c r="AE277" i="9"/>
  <c r="AF277" i="9"/>
  <c r="AG277" i="9"/>
  <c r="AH277" i="9"/>
  <c r="AI277" i="9"/>
  <c r="AJ277" i="9"/>
  <c r="AK277" i="9"/>
  <c r="AL277" i="9"/>
  <c r="U278" i="9"/>
  <c r="V278" i="9"/>
  <c r="W278" i="9"/>
  <c r="X278" i="9"/>
  <c r="Y278" i="9"/>
  <c r="Z278" i="9"/>
  <c r="AA278" i="9"/>
  <c r="AB278" i="9"/>
  <c r="AC278" i="9"/>
  <c r="AD278" i="9"/>
  <c r="AE278" i="9"/>
  <c r="AF278" i="9"/>
  <c r="AG278" i="9"/>
  <c r="AH278" i="9"/>
  <c r="AI278" i="9"/>
  <c r="AJ278" i="9"/>
  <c r="AK278" i="9"/>
  <c r="AL278" i="9"/>
  <c r="U279" i="9"/>
  <c r="V279" i="9"/>
  <c r="W279" i="9"/>
  <c r="X279" i="9"/>
  <c r="Y279" i="9"/>
  <c r="Z279" i="9"/>
  <c r="AA279" i="9"/>
  <c r="AB279" i="9"/>
  <c r="AC279" i="9"/>
  <c r="AD279" i="9"/>
  <c r="AE279" i="9"/>
  <c r="AF279" i="9"/>
  <c r="AG279" i="9"/>
  <c r="AH279" i="9"/>
  <c r="AI279" i="9"/>
  <c r="AJ279" i="9"/>
  <c r="AK279" i="9"/>
  <c r="AL279" i="9"/>
  <c r="U280" i="9"/>
  <c r="V280" i="9"/>
  <c r="W280" i="9"/>
  <c r="X280" i="9"/>
  <c r="Y280" i="9"/>
  <c r="Z280" i="9"/>
  <c r="AA280" i="9"/>
  <c r="AB280" i="9"/>
  <c r="AC280" i="9"/>
  <c r="AD280" i="9"/>
  <c r="AE280" i="9"/>
  <c r="AF280" i="9"/>
  <c r="AG280" i="9"/>
  <c r="AH280" i="9"/>
  <c r="AI280" i="9"/>
  <c r="AJ280" i="9"/>
  <c r="AK280" i="9"/>
  <c r="AL280" i="9"/>
  <c r="U281" i="9"/>
  <c r="V281" i="9"/>
  <c r="W281" i="9"/>
  <c r="X281" i="9"/>
  <c r="Y281" i="9"/>
  <c r="Z281" i="9"/>
  <c r="AA281" i="9"/>
  <c r="AB281" i="9"/>
  <c r="AC281" i="9"/>
  <c r="AD281" i="9"/>
  <c r="AE281" i="9"/>
  <c r="AF281" i="9"/>
  <c r="AG281" i="9"/>
  <c r="AH281" i="9"/>
  <c r="AI281" i="9"/>
  <c r="AJ281" i="9"/>
  <c r="AK281" i="9"/>
  <c r="AL281" i="9"/>
  <c r="U282" i="9"/>
  <c r="V282" i="9"/>
  <c r="W282" i="9"/>
  <c r="X282" i="9"/>
  <c r="Y282" i="9"/>
  <c r="Z282" i="9"/>
  <c r="AA282" i="9"/>
  <c r="AB282" i="9"/>
  <c r="AC282" i="9"/>
  <c r="AD282" i="9"/>
  <c r="AE282" i="9"/>
  <c r="AF282" i="9"/>
  <c r="AG282" i="9"/>
  <c r="AH282" i="9"/>
  <c r="AI282" i="9"/>
  <c r="AJ282" i="9"/>
  <c r="AK282" i="9"/>
  <c r="AL282" i="9"/>
  <c r="U283" i="9"/>
  <c r="V283" i="9"/>
  <c r="W283" i="9"/>
  <c r="X283" i="9"/>
  <c r="Y283" i="9"/>
  <c r="Z283" i="9"/>
  <c r="AA283" i="9"/>
  <c r="AB283" i="9"/>
  <c r="AC283" i="9"/>
  <c r="AD283" i="9"/>
  <c r="AE283" i="9"/>
  <c r="AF283" i="9"/>
  <c r="AG283" i="9"/>
  <c r="AH283" i="9"/>
  <c r="AI283" i="9"/>
  <c r="AJ283" i="9"/>
  <c r="AK283" i="9"/>
  <c r="AL283" i="9"/>
  <c r="U284" i="9"/>
  <c r="V284" i="9"/>
  <c r="W284" i="9"/>
  <c r="X284" i="9"/>
  <c r="Y284" i="9"/>
  <c r="Z284" i="9"/>
  <c r="AA284" i="9"/>
  <c r="AB284" i="9"/>
  <c r="AC284" i="9"/>
  <c r="AD284" i="9"/>
  <c r="AE284" i="9"/>
  <c r="AF284" i="9"/>
  <c r="AG284" i="9"/>
  <c r="AH284" i="9"/>
  <c r="AI284" i="9"/>
  <c r="AJ284" i="9"/>
  <c r="AK284" i="9"/>
  <c r="AL284" i="9"/>
  <c r="U285" i="9"/>
  <c r="V285" i="9"/>
  <c r="W285" i="9"/>
  <c r="X285" i="9"/>
  <c r="Y285" i="9"/>
  <c r="Z285" i="9"/>
  <c r="AA285" i="9"/>
  <c r="AB285" i="9"/>
  <c r="AC285" i="9"/>
  <c r="AD285" i="9"/>
  <c r="AE285" i="9"/>
  <c r="AF285" i="9"/>
  <c r="AG285" i="9"/>
  <c r="AH285" i="9"/>
  <c r="AI285" i="9"/>
  <c r="AJ285" i="9"/>
  <c r="AK285" i="9"/>
  <c r="AL285" i="9"/>
  <c r="U286" i="9"/>
  <c r="V286" i="9"/>
  <c r="W286" i="9"/>
  <c r="X286" i="9"/>
  <c r="Y286" i="9"/>
  <c r="Z286" i="9"/>
  <c r="AA286" i="9"/>
  <c r="AB286" i="9"/>
  <c r="AC286" i="9"/>
  <c r="AD286" i="9"/>
  <c r="AE286" i="9"/>
  <c r="AF286" i="9"/>
  <c r="AG286" i="9"/>
  <c r="AH286" i="9"/>
  <c r="AI286" i="9"/>
  <c r="AJ286" i="9"/>
  <c r="AK286" i="9"/>
  <c r="AL286" i="9"/>
  <c r="U287" i="9"/>
  <c r="V287" i="9"/>
  <c r="W287" i="9"/>
  <c r="X287" i="9"/>
  <c r="Y287" i="9"/>
  <c r="Z287" i="9"/>
  <c r="AA287" i="9"/>
  <c r="AB287" i="9"/>
  <c r="AC287" i="9"/>
  <c r="AD287" i="9"/>
  <c r="AE287" i="9"/>
  <c r="AF287" i="9"/>
  <c r="AG287" i="9"/>
  <c r="AH287" i="9"/>
  <c r="AI287" i="9"/>
  <c r="AJ287" i="9"/>
  <c r="AK287" i="9"/>
  <c r="AL287" i="9"/>
  <c r="U288" i="9"/>
  <c r="V288" i="9"/>
  <c r="W288" i="9"/>
  <c r="X288" i="9"/>
  <c r="Y288" i="9"/>
  <c r="Z288" i="9"/>
  <c r="AA288" i="9"/>
  <c r="AB288" i="9"/>
  <c r="AC288" i="9"/>
  <c r="AD288" i="9"/>
  <c r="AE288" i="9"/>
  <c r="AF288" i="9"/>
  <c r="AG288" i="9"/>
  <c r="AH288" i="9"/>
  <c r="AI288" i="9"/>
  <c r="AJ288" i="9"/>
  <c r="AK288" i="9"/>
  <c r="AL288" i="9"/>
  <c r="U289" i="9"/>
  <c r="V289" i="9"/>
  <c r="W289" i="9"/>
  <c r="X289" i="9"/>
  <c r="Y289" i="9"/>
  <c r="Z289" i="9"/>
  <c r="AA289" i="9"/>
  <c r="AB289" i="9"/>
  <c r="AC289" i="9"/>
  <c r="AD289" i="9"/>
  <c r="AE289" i="9"/>
  <c r="AF289" i="9"/>
  <c r="AG289" i="9"/>
  <c r="AH289" i="9"/>
  <c r="AI289" i="9"/>
  <c r="AJ289" i="9"/>
  <c r="AK289" i="9"/>
  <c r="AL289" i="9"/>
  <c r="U290" i="9"/>
  <c r="V290" i="9"/>
  <c r="W290" i="9"/>
  <c r="X290" i="9"/>
  <c r="Y290" i="9"/>
  <c r="Z290" i="9"/>
  <c r="AA290" i="9"/>
  <c r="AB290" i="9"/>
  <c r="AC290" i="9"/>
  <c r="AD290" i="9"/>
  <c r="AE290" i="9"/>
  <c r="AF290" i="9"/>
  <c r="AG290" i="9"/>
  <c r="AH290" i="9"/>
  <c r="AI290" i="9"/>
  <c r="AJ290" i="9"/>
  <c r="AK290" i="9"/>
  <c r="AL290" i="9"/>
  <c r="U291" i="9"/>
  <c r="V291" i="9"/>
  <c r="W291" i="9"/>
  <c r="X291" i="9"/>
  <c r="Y291" i="9"/>
  <c r="Z291" i="9"/>
  <c r="AA291" i="9"/>
  <c r="AB291" i="9"/>
  <c r="AC291" i="9"/>
  <c r="AD291" i="9"/>
  <c r="AE291" i="9"/>
  <c r="AF291" i="9"/>
  <c r="AG291" i="9"/>
  <c r="AH291" i="9"/>
  <c r="AI291" i="9"/>
  <c r="AJ291" i="9"/>
  <c r="AK291" i="9"/>
  <c r="AL291" i="9"/>
  <c r="U292" i="9"/>
  <c r="V292" i="9"/>
  <c r="W292" i="9"/>
  <c r="X292" i="9"/>
  <c r="Y292" i="9"/>
  <c r="Z292" i="9"/>
  <c r="AA292" i="9"/>
  <c r="AB292" i="9"/>
  <c r="AC292" i="9"/>
  <c r="AD292" i="9"/>
  <c r="AE292" i="9"/>
  <c r="AF292" i="9"/>
  <c r="AG292" i="9"/>
  <c r="AH292" i="9"/>
  <c r="AI292" i="9"/>
  <c r="AJ292" i="9"/>
  <c r="AK292" i="9"/>
  <c r="AL292" i="9"/>
  <c r="U293" i="9"/>
  <c r="V293" i="9"/>
  <c r="W293" i="9"/>
  <c r="X293" i="9"/>
  <c r="Y293" i="9"/>
  <c r="Z293" i="9"/>
  <c r="AA293" i="9"/>
  <c r="AB293" i="9"/>
  <c r="AC293" i="9"/>
  <c r="AD293" i="9"/>
  <c r="AE293" i="9"/>
  <c r="AF293" i="9"/>
  <c r="AG293" i="9"/>
  <c r="AH293" i="9"/>
  <c r="AI293" i="9"/>
  <c r="AJ293" i="9"/>
  <c r="AK293" i="9"/>
  <c r="AL293" i="9"/>
  <c r="U294" i="9"/>
  <c r="V294" i="9"/>
  <c r="W294" i="9"/>
  <c r="X294" i="9"/>
  <c r="Y294" i="9"/>
  <c r="Z294" i="9"/>
  <c r="AA294" i="9"/>
  <c r="AB294" i="9"/>
  <c r="AC294" i="9"/>
  <c r="AD294" i="9"/>
  <c r="AE294" i="9"/>
  <c r="AF294" i="9"/>
  <c r="AG294" i="9"/>
  <c r="AH294" i="9"/>
  <c r="AI294" i="9"/>
  <c r="AJ294" i="9"/>
  <c r="AK294" i="9"/>
  <c r="AL294" i="9"/>
  <c r="AL270" i="9"/>
  <c r="AJ270" i="9"/>
  <c r="AI270" i="9"/>
  <c r="AH270" i="9"/>
  <c r="AG270" i="9"/>
  <c r="AF270" i="9"/>
  <c r="AE270" i="9"/>
  <c r="AD270" i="9"/>
  <c r="AC270" i="9"/>
  <c r="AB270" i="9"/>
  <c r="AA270" i="9"/>
  <c r="Z270" i="9"/>
  <c r="X270" i="9"/>
  <c r="W270" i="9"/>
  <c r="V270" i="9"/>
  <c r="U270" i="9"/>
  <c r="U251" i="9"/>
  <c r="V251" i="9"/>
  <c r="W251" i="9"/>
  <c r="X251" i="9"/>
  <c r="Y251" i="9"/>
  <c r="Z251" i="9"/>
  <c r="AA251" i="9"/>
  <c r="AB251" i="9"/>
  <c r="AD251" i="9"/>
  <c r="AE251" i="9"/>
  <c r="AF251" i="9"/>
  <c r="AG251" i="9"/>
  <c r="AP251" i="9" s="1"/>
  <c r="AH251" i="9"/>
  <c r="AQ251" i="9" s="1"/>
  <c r="AI251" i="9"/>
  <c r="AR251" i="9" s="1"/>
  <c r="AJ251" i="9"/>
  <c r="AK251" i="9"/>
  <c r="U252" i="9"/>
  <c r="V252" i="9"/>
  <c r="W252" i="9"/>
  <c r="X252" i="9"/>
  <c r="Y252" i="9"/>
  <c r="Z252" i="9"/>
  <c r="AA252" i="9"/>
  <c r="AB252" i="9"/>
  <c r="AC252" i="9"/>
  <c r="AD252" i="9"/>
  <c r="AE252" i="9"/>
  <c r="AF252" i="9"/>
  <c r="AG252" i="9"/>
  <c r="AP252" i="9" s="1"/>
  <c r="AH252" i="9"/>
  <c r="AQ252" i="9" s="1"/>
  <c r="AI252" i="9"/>
  <c r="AR252" i="9" s="1"/>
  <c r="AJ252" i="9"/>
  <c r="AK252" i="9"/>
  <c r="AL252" i="9"/>
  <c r="U253" i="9"/>
  <c r="V253" i="9"/>
  <c r="W253" i="9"/>
  <c r="X253" i="9"/>
  <c r="Y253" i="9"/>
  <c r="Z253" i="9"/>
  <c r="AA253" i="9"/>
  <c r="AB253" i="9"/>
  <c r="AC253" i="9"/>
  <c r="AD253" i="9"/>
  <c r="AE253" i="9"/>
  <c r="AF253" i="9"/>
  <c r="AG253" i="9"/>
  <c r="AP253" i="9" s="1"/>
  <c r="AH253" i="9"/>
  <c r="AQ253" i="9" s="1"/>
  <c r="AI253" i="9"/>
  <c r="AR253" i="9" s="1"/>
  <c r="AJ253" i="9"/>
  <c r="AK253" i="9"/>
  <c r="AL253" i="9"/>
  <c r="U254" i="9"/>
  <c r="V254" i="9"/>
  <c r="W254" i="9"/>
  <c r="X254" i="9"/>
  <c r="Y254" i="9"/>
  <c r="Z254" i="9"/>
  <c r="AA254" i="9"/>
  <c r="AB254" i="9"/>
  <c r="AC254" i="9"/>
  <c r="AD254" i="9"/>
  <c r="AE254" i="9"/>
  <c r="AF254" i="9"/>
  <c r="AG254" i="9"/>
  <c r="AP254" i="9" s="1"/>
  <c r="AH254" i="9"/>
  <c r="AQ254" i="9" s="1"/>
  <c r="AI254" i="9"/>
  <c r="AR254" i="9" s="1"/>
  <c r="AJ254" i="9"/>
  <c r="AK254" i="9"/>
  <c r="AL254" i="9"/>
  <c r="U255" i="9"/>
  <c r="V255" i="9"/>
  <c r="W255" i="9"/>
  <c r="X255" i="9"/>
  <c r="Y255" i="9"/>
  <c r="Z255" i="9"/>
  <c r="AA255" i="9"/>
  <c r="AB255" i="9"/>
  <c r="AC255" i="9"/>
  <c r="AD255" i="9"/>
  <c r="AE255" i="9"/>
  <c r="AF255" i="9"/>
  <c r="AG255" i="9"/>
  <c r="AP255" i="9" s="1"/>
  <c r="AH255" i="9"/>
  <c r="AQ255" i="9" s="1"/>
  <c r="AI255" i="9"/>
  <c r="AR255" i="9" s="1"/>
  <c r="AJ255" i="9"/>
  <c r="AK255" i="9"/>
  <c r="AL255" i="9"/>
  <c r="U256" i="9"/>
  <c r="V256" i="9"/>
  <c r="W256" i="9"/>
  <c r="X256" i="9"/>
  <c r="Y256" i="9"/>
  <c r="Z256" i="9"/>
  <c r="AA256" i="9"/>
  <c r="AB256" i="9"/>
  <c r="AC256" i="9"/>
  <c r="AD256" i="9"/>
  <c r="AE256" i="9"/>
  <c r="AF256" i="9"/>
  <c r="AG256" i="9"/>
  <c r="AP256" i="9" s="1"/>
  <c r="AH256" i="9"/>
  <c r="AQ256" i="9" s="1"/>
  <c r="AI256" i="9"/>
  <c r="AR256" i="9" s="1"/>
  <c r="AJ256" i="9"/>
  <c r="AK256" i="9"/>
  <c r="AL256" i="9"/>
  <c r="U257" i="9"/>
  <c r="V257" i="9"/>
  <c r="W257" i="9"/>
  <c r="X257" i="9"/>
  <c r="Y257" i="9"/>
  <c r="Z257" i="9"/>
  <c r="AA257" i="9"/>
  <c r="AB257" i="9"/>
  <c r="AC257" i="9"/>
  <c r="AD257" i="9"/>
  <c r="AE257" i="9"/>
  <c r="AF257" i="9"/>
  <c r="AG257" i="9"/>
  <c r="AP257" i="9" s="1"/>
  <c r="AH257" i="9"/>
  <c r="AQ257" i="9" s="1"/>
  <c r="AI257" i="9"/>
  <c r="AR257" i="9" s="1"/>
  <c r="AJ257" i="9"/>
  <c r="AK257" i="9"/>
  <c r="AL257" i="9"/>
  <c r="U258" i="9"/>
  <c r="V258" i="9"/>
  <c r="W258" i="9"/>
  <c r="X258" i="9"/>
  <c r="Y258" i="9"/>
  <c r="Z258" i="9"/>
  <c r="AA258" i="9"/>
  <c r="AB258" i="9"/>
  <c r="AC258" i="9"/>
  <c r="AD258" i="9"/>
  <c r="AE258" i="9"/>
  <c r="AF258" i="9"/>
  <c r="AG258" i="9"/>
  <c r="AP258" i="9" s="1"/>
  <c r="AH258" i="9"/>
  <c r="AQ258" i="9" s="1"/>
  <c r="AI258" i="9"/>
  <c r="AR258" i="9" s="1"/>
  <c r="AJ258" i="9"/>
  <c r="AK258" i="9"/>
  <c r="AL258" i="9"/>
  <c r="U259" i="9"/>
  <c r="V259" i="9"/>
  <c r="W259" i="9"/>
  <c r="X259" i="9"/>
  <c r="Y259" i="9"/>
  <c r="Z259" i="9"/>
  <c r="AA259" i="9"/>
  <c r="AB259" i="9"/>
  <c r="AC259" i="9"/>
  <c r="AD259" i="9"/>
  <c r="AE259" i="9"/>
  <c r="AF259" i="9"/>
  <c r="AG259" i="9"/>
  <c r="AP259" i="9" s="1"/>
  <c r="AH259" i="9"/>
  <c r="AQ259" i="9" s="1"/>
  <c r="AI259" i="9"/>
  <c r="AR259" i="9" s="1"/>
  <c r="AJ259" i="9"/>
  <c r="AK259" i="9"/>
  <c r="AL259" i="9"/>
  <c r="U260" i="9"/>
  <c r="V260" i="9"/>
  <c r="W260" i="9"/>
  <c r="X260" i="9"/>
  <c r="Y260" i="9"/>
  <c r="Z260" i="9"/>
  <c r="AA260" i="9"/>
  <c r="AB260" i="9"/>
  <c r="AC260" i="9"/>
  <c r="AD260" i="9"/>
  <c r="AE260" i="9"/>
  <c r="AF260" i="9"/>
  <c r="AG260" i="9"/>
  <c r="AP260" i="9" s="1"/>
  <c r="AH260" i="9"/>
  <c r="AQ260" i="9" s="1"/>
  <c r="AI260" i="9"/>
  <c r="AR260" i="9" s="1"/>
  <c r="AJ260" i="9"/>
  <c r="AK260" i="9"/>
  <c r="AL260" i="9"/>
  <c r="U261" i="9"/>
  <c r="V261" i="9"/>
  <c r="W261" i="9"/>
  <c r="X261" i="9"/>
  <c r="Y261" i="9"/>
  <c r="Z261" i="9"/>
  <c r="AA261" i="9"/>
  <c r="AB261" i="9"/>
  <c r="AC261" i="9"/>
  <c r="AD261" i="9"/>
  <c r="AE261" i="9"/>
  <c r="AF261" i="9"/>
  <c r="AG261" i="9"/>
  <c r="AP261" i="9" s="1"/>
  <c r="AH261" i="9"/>
  <c r="AQ261" i="9" s="1"/>
  <c r="AI261" i="9"/>
  <c r="AR261" i="9" s="1"/>
  <c r="AJ261" i="9"/>
  <c r="AK261" i="9"/>
  <c r="AL261" i="9"/>
  <c r="U262" i="9"/>
  <c r="V262" i="9"/>
  <c r="W262" i="9"/>
  <c r="X262" i="9"/>
  <c r="Y262" i="9"/>
  <c r="Z262" i="9"/>
  <c r="AA262" i="9"/>
  <c r="AB262" i="9"/>
  <c r="AC262" i="9"/>
  <c r="AD262" i="9"/>
  <c r="AE262" i="9"/>
  <c r="AF262" i="9"/>
  <c r="AG262" i="9"/>
  <c r="AP262" i="9" s="1"/>
  <c r="AH262" i="9"/>
  <c r="AQ262" i="9" s="1"/>
  <c r="AI262" i="9"/>
  <c r="AR262" i="9" s="1"/>
  <c r="AJ262" i="9"/>
  <c r="AK262" i="9"/>
  <c r="AL262" i="9"/>
  <c r="U263" i="9"/>
  <c r="V263" i="9"/>
  <c r="W263" i="9"/>
  <c r="X263" i="9"/>
  <c r="Y263" i="9"/>
  <c r="Z263" i="9"/>
  <c r="AA263" i="9"/>
  <c r="AB263" i="9"/>
  <c r="AC263" i="9"/>
  <c r="AD263" i="9"/>
  <c r="AE263" i="9"/>
  <c r="AF263" i="9"/>
  <c r="AG263" i="9"/>
  <c r="AP263" i="9" s="1"/>
  <c r="AH263" i="9"/>
  <c r="AQ263" i="9" s="1"/>
  <c r="AI263" i="9"/>
  <c r="AR263" i="9" s="1"/>
  <c r="AJ263" i="9"/>
  <c r="AK263" i="9"/>
  <c r="AL263" i="9"/>
  <c r="U264" i="9"/>
  <c r="V264" i="9"/>
  <c r="W264" i="9"/>
  <c r="X264" i="9"/>
  <c r="Y264" i="9"/>
  <c r="Z264" i="9"/>
  <c r="AA264" i="9"/>
  <c r="AB264" i="9"/>
  <c r="AC264" i="9"/>
  <c r="AD264" i="9"/>
  <c r="AE264" i="9"/>
  <c r="AF264" i="9"/>
  <c r="AG264" i="9"/>
  <c r="AP264" i="9" s="1"/>
  <c r="AH264" i="9"/>
  <c r="AQ264" i="9" s="1"/>
  <c r="AI264" i="9"/>
  <c r="AR264" i="9" s="1"/>
  <c r="AJ264" i="9"/>
  <c r="AK264" i="9"/>
  <c r="AL264" i="9"/>
  <c r="AI250" i="9"/>
  <c r="AH250" i="9"/>
  <c r="K373" i="9" s="1"/>
  <c r="AG250" i="9"/>
  <c r="AF250" i="9"/>
  <c r="AE250" i="9"/>
  <c r="AD250" i="9"/>
  <c r="AB250" i="9"/>
  <c r="AA250" i="9"/>
  <c r="Z250" i="9"/>
  <c r="X250" i="9"/>
  <c r="W250" i="9"/>
  <c r="V250" i="9"/>
  <c r="U132" i="9"/>
  <c r="V132" i="9"/>
  <c r="W132" i="9"/>
  <c r="X132" i="9"/>
  <c r="Z132" i="9"/>
  <c r="AA132" i="9"/>
  <c r="AB132" i="9"/>
  <c r="AD132" i="9"/>
  <c r="AE132" i="9"/>
  <c r="AF132" i="9"/>
  <c r="AG132" i="9"/>
  <c r="AP132" i="9" s="1"/>
  <c r="AH132" i="9"/>
  <c r="AQ132" i="9" s="1"/>
  <c r="AI132" i="9"/>
  <c r="AR132" i="9" s="1"/>
  <c r="AJ132" i="9"/>
  <c r="U133" i="9"/>
  <c r="V133" i="9"/>
  <c r="W133" i="9"/>
  <c r="X133" i="9"/>
  <c r="Y133" i="9"/>
  <c r="Z133" i="9"/>
  <c r="AA133" i="9"/>
  <c r="AB133" i="9"/>
  <c r="AC133" i="9"/>
  <c r="AD133" i="9"/>
  <c r="AE133" i="9"/>
  <c r="AF133" i="9"/>
  <c r="AG133" i="9"/>
  <c r="AP133" i="9" s="1"/>
  <c r="AH133" i="9"/>
  <c r="AQ133" i="9" s="1"/>
  <c r="AI133" i="9"/>
  <c r="AR133" i="9" s="1"/>
  <c r="AJ133" i="9"/>
  <c r="AK133" i="9"/>
  <c r="AL133" i="9"/>
  <c r="U134" i="9"/>
  <c r="V134" i="9"/>
  <c r="W134" i="9"/>
  <c r="X134" i="9"/>
  <c r="Y134" i="9"/>
  <c r="Z134" i="9"/>
  <c r="AA134" i="9"/>
  <c r="AB134" i="9"/>
  <c r="AC134" i="9"/>
  <c r="AD134" i="9"/>
  <c r="AE134" i="9"/>
  <c r="AF134" i="9"/>
  <c r="AG134" i="9"/>
  <c r="AP134" i="9" s="1"/>
  <c r="AH134" i="9"/>
  <c r="AQ134" i="9" s="1"/>
  <c r="AI134" i="9"/>
  <c r="AR134" i="9" s="1"/>
  <c r="AJ134" i="9"/>
  <c r="AK134" i="9"/>
  <c r="AL134" i="9"/>
  <c r="U135" i="9"/>
  <c r="V135" i="9"/>
  <c r="W135" i="9"/>
  <c r="X135" i="9"/>
  <c r="Y135" i="9"/>
  <c r="Z135" i="9"/>
  <c r="AA135" i="9"/>
  <c r="AB135" i="9"/>
  <c r="AC135" i="9"/>
  <c r="AD135" i="9"/>
  <c r="AE135" i="9"/>
  <c r="AF135" i="9"/>
  <c r="AG135" i="9"/>
  <c r="AP135" i="9" s="1"/>
  <c r="AH135" i="9"/>
  <c r="AQ135" i="9" s="1"/>
  <c r="AI135" i="9"/>
  <c r="AR135" i="9" s="1"/>
  <c r="AJ135" i="9"/>
  <c r="AK135" i="9"/>
  <c r="AL135" i="9"/>
  <c r="U136" i="9"/>
  <c r="V136" i="9"/>
  <c r="W136" i="9"/>
  <c r="X136" i="9"/>
  <c r="Y136" i="9"/>
  <c r="Z136" i="9"/>
  <c r="AA136" i="9"/>
  <c r="AB136" i="9"/>
  <c r="AC136" i="9"/>
  <c r="AD136" i="9"/>
  <c r="AE136" i="9"/>
  <c r="AF136" i="9"/>
  <c r="AG136" i="9"/>
  <c r="AP136" i="9" s="1"/>
  <c r="AH136" i="9"/>
  <c r="AQ136" i="9" s="1"/>
  <c r="AI136" i="9"/>
  <c r="AR136" i="9" s="1"/>
  <c r="AJ136" i="9"/>
  <c r="AK136" i="9"/>
  <c r="AL136" i="9"/>
  <c r="U137" i="9"/>
  <c r="V137" i="9"/>
  <c r="W137" i="9"/>
  <c r="X137" i="9"/>
  <c r="Y137" i="9"/>
  <c r="Z137" i="9"/>
  <c r="AA137" i="9"/>
  <c r="AB137" i="9"/>
  <c r="AC137" i="9"/>
  <c r="AD137" i="9"/>
  <c r="AE137" i="9"/>
  <c r="AF137" i="9"/>
  <c r="AG137" i="9"/>
  <c r="AP137" i="9" s="1"/>
  <c r="AH137" i="9"/>
  <c r="AQ137" i="9" s="1"/>
  <c r="AI137" i="9"/>
  <c r="AR137" i="9" s="1"/>
  <c r="AJ137" i="9"/>
  <c r="AK137" i="9"/>
  <c r="AL137" i="9"/>
  <c r="U138" i="9"/>
  <c r="V138" i="9"/>
  <c r="W138" i="9"/>
  <c r="X138" i="9"/>
  <c r="Y138" i="9"/>
  <c r="Z138" i="9"/>
  <c r="AA138" i="9"/>
  <c r="AB138" i="9"/>
  <c r="AC138" i="9"/>
  <c r="AD138" i="9"/>
  <c r="AE138" i="9"/>
  <c r="AF138" i="9"/>
  <c r="AG138" i="9"/>
  <c r="AP138" i="9" s="1"/>
  <c r="AH138" i="9"/>
  <c r="AQ138" i="9" s="1"/>
  <c r="AI138" i="9"/>
  <c r="AR138" i="9" s="1"/>
  <c r="AJ138" i="9"/>
  <c r="AK138" i="9"/>
  <c r="AL138" i="9"/>
  <c r="U139" i="9"/>
  <c r="V139" i="9"/>
  <c r="W139" i="9"/>
  <c r="X139" i="9"/>
  <c r="Y139" i="9"/>
  <c r="Z139" i="9"/>
  <c r="AA139" i="9"/>
  <c r="AB139" i="9"/>
  <c r="AC139" i="9"/>
  <c r="AD139" i="9"/>
  <c r="AE139" i="9"/>
  <c r="AF139" i="9"/>
  <c r="AG139" i="9"/>
  <c r="AP139" i="9" s="1"/>
  <c r="AH139" i="9"/>
  <c r="AQ139" i="9" s="1"/>
  <c r="AI139" i="9"/>
  <c r="AR139" i="9" s="1"/>
  <c r="AJ139" i="9"/>
  <c r="AK139" i="9"/>
  <c r="AL139" i="9"/>
  <c r="U140" i="9"/>
  <c r="V140" i="9"/>
  <c r="W140" i="9"/>
  <c r="X140" i="9"/>
  <c r="Y140" i="9"/>
  <c r="Z140" i="9"/>
  <c r="AA140" i="9"/>
  <c r="AB140" i="9"/>
  <c r="AC140" i="9"/>
  <c r="AD140" i="9"/>
  <c r="AE140" i="9"/>
  <c r="AF140" i="9"/>
  <c r="AG140" i="9"/>
  <c r="AP140" i="9" s="1"/>
  <c r="AH140" i="9"/>
  <c r="AQ140" i="9" s="1"/>
  <c r="AI140" i="9"/>
  <c r="AR140" i="9" s="1"/>
  <c r="AJ140" i="9"/>
  <c r="AK140" i="9"/>
  <c r="AL140" i="9"/>
  <c r="U141" i="9"/>
  <c r="V141" i="9"/>
  <c r="W141" i="9"/>
  <c r="X141" i="9"/>
  <c r="Y141" i="9"/>
  <c r="Z141" i="9"/>
  <c r="AA141" i="9"/>
  <c r="AB141" i="9"/>
  <c r="AC141" i="9"/>
  <c r="AD141" i="9"/>
  <c r="AE141" i="9"/>
  <c r="AF141" i="9"/>
  <c r="AG141" i="9"/>
  <c r="AP141" i="9" s="1"/>
  <c r="AH141" i="9"/>
  <c r="AQ141" i="9" s="1"/>
  <c r="AI141" i="9"/>
  <c r="AR141" i="9" s="1"/>
  <c r="AJ141" i="9"/>
  <c r="AK141" i="9"/>
  <c r="AL141" i="9"/>
  <c r="U142" i="9"/>
  <c r="V142" i="9"/>
  <c r="W142" i="9"/>
  <c r="X142" i="9"/>
  <c r="Y142" i="9"/>
  <c r="Z142" i="9"/>
  <c r="AA142" i="9"/>
  <c r="AB142" i="9"/>
  <c r="AC142" i="9"/>
  <c r="AD142" i="9"/>
  <c r="AE142" i="9"/>
  <c r="AF142" i="9"/>
  <c r="AG142" i="9"/>
  <c r="AP142" i="9" s="1"/>
  <c r="AH142" i="9"/>
  <c r="AQ142" i="9" s="1"/>
  <c r="AI142" i="9"/>
  <c r="AR142" i="9" s="1"/>
  <c r="AJ142" i="9"/>
  <c r="AK142" i="9"/>
  <c r="AL142" i="9"/>
  <c r="U143" i="9"/>
  <c r="V143" i="9"/>
  <c r="W143" i="9"/>
  <c r="X143" i="9"/>
  <c r="Y143" i="9"/>
  <c r="Z143" i="9"/>
  <c r="AA143" i="9"/>
  <c r="AB143" i="9"/>
  <c r="AC143" i="9"/>
  <c r="AD143" i="9"/>
  <c r="AE143" i="9"/>
  <c r="AF143" i="9"/>
  <c r="AG143" i="9"/>
  <c r="AP143" i="9" s="1"/>
  <c r="AH143" i="9"/>
  <c r="AQ143" i="9" s="1"/>
  <c r="AI143" i="9"/>
  <c r="AR143" i="9" s="1"/>
  <c r="AJ143" i="9"/>
  <c r="AK143" i="9"/>
  <c r="AL143" i="9"/>
  <c r="U144" i="9"/>
  <c r="V144" i="9"/>
  <c r="W144" i="9"/>
  <c r="X144" i="9"/>
  <c r="Y144" i="9"/>
  <c r="Z144" i="9"/>
  <c r="AA144" i="9"/>
  <c r="AB144" i="9"/>
  <c r="AC144" i="9"/>
  <c r="AD144" i="9"/>
  <c r="AE144" i="9"/>
  <c r="AF144" i="9"/>
  <c r="AG144" i="9"/>
  <c r="AP144" i="9" s="1"/>
  <c r="AH144" i="9"/>
  <c r="AQ144" i="9" s="1"/>
  <c r="AI144" i="9"/>
  <c r="AR144" i="9" s="1"/>
  <c r="AJ144" i="9"/>
  <c r="AK144" i="9"/>
  <c r="AL144" i="9"/>
  <c r="U145" i="9"/>
  <c r="V145" i="9"/>
  <c r="W145" i="9"/>
  <c r="X145" i="9"/>
  <c r="Y145" i="9"/>
  <c r="Z145" i="9"/>
  <c r="AA145" i="9"/>
  <c r="AB145" i="9"/>
  <c r="AC145" i="9"/>
  <c r="AD145" i="9"/>
  <c r="AE145" i="9"/>
  <c r="AF145" i="9"/>
  <c r="AG145" i="9"/>
  <c r="AP145" i="9" s="1"/>
  <c r="AH145" i="9"/>
  <c r="AQ145" i="9" s="1"/>
  <c r="AI145" i="9"/>
  <c r="AR145" i="9" s="1"/>
  <c r="AJ145" i="9"/>
  <c r="AK145" i="9"/>
  <c r="AL145" i="9"/>
  <c r="U146" i="9"/>
  <c r="V146" i="9"/>
  <c r="W146" i="9"/>
  <c r="X146" i="9"/>
  <c r="Y146" i="9"/>
  <c r="Z146" i="9"/>
  <c r="AA146" i="9"/>
  <c r="AB146" i="9"/>
  <c r="AC146" i="9"/>
  <c r="AD146" i="9"/>
  <c r="AE146" i="9"/>
  <c r="AF146" i="9"/>
  <c r="AG146" i="9"/>
  <c r="AP146" i="9" s="1"/>
  <c r="AH146" i="9"/>
  <c r="AQ146" i="9" s="1"/>
  <c r="AI146" i="9"/>
  <c r="AR146" i="9" s="1"/>
  <c r="AJ146" i="9"/>
  <c r="AK146" i="9"/>
  <c r="AL146" i="9"/>
  <c r="U147" i="9"/>
  <c r="V147" i="9"/>
  <c r="W147" i="9"/>
  <c r="X147" i="9"/>
  <c r="Y147" i="9"/>
  <c r="Z147" i="9"/>
  <c r="AA147" i="9"/>
  <c r="AB147" i="9"/>
  <c r="AC147" i="9"/>
  <c r="AD147" i="9"/>
  <c r="AE147" i="9"/>
  <c r="AF147" i="9"/>
  <c r="AG147" i="9"/>
  <c r="AP147" i="9" s="1"/>
  <c r="AH147" i="9"/>
  <c r="AQ147" i="9" s="1"/>
  <c r="AI147" i="9"/>
  <c r="AR147" i="9" s="1"/>
  <c r="AJ147" i="9"/>
  <c r="AK147" i="9"/>
  <c r="AL147" i="9"/>
  <c r="U148" i="9"/>
  <c r="V148" i="9"/>
  <c r="W148" i="9"/>
  <c r="X148" i="9"/>
  <c r="Y148" i="9"/>
  <c r="Z148" i="9"/>
  <c r="AA148" i="9"/>
  <c r="AB148" i="9"/>
  <c r="AC148" i="9"/>
  <c r="AD148" i="9"/>
  <c r="AE148" i="9"/>
  <c r="AF148" i="9"/>
  <c r="AG148" i="9"/>
  <c r="AP148" i="9" s="1"/>
  <c r="AH148" i="9"/>
  <c r="AQ148" i="9" s="1"/>
  <c r="AI148" i="9"/>
  <c r="AR148" i="9" s="1"/>
  <c r="AJ148" i="9"/>
  <c r="AK148" i="9"/>
  <c r="AL148" i="9"/>
  <c r="U149" i="9"/>
  <c r="V149" i="9"/>
  <c r="W149" i="9"/>
  <c r="X149" i="9"/>
  <c r="Y149" i="9"/>
  <c r="Z149" i="9"/>
  <c r="AA149" i="9"/>
  <c r="AB149" i="9"/>
  <c r="AC149" i="9"/>
  <c r="AD149" i="9"/>
  <c r="AE149" i="9"/>
  <c r="AF149" i="9"/>
  <c r="AG149" i="9"/>
  <c r="AP149" i="9" s="1"/>
  <c r="AH149" i="9"/>
  <c r="AQ149" i="9" s="1"/>
  <c r="AI149" i="9"/>
  <c r="AR149" i="9" s="1"/>
  <c r="AJ149" i="9"/>
  <c r="AK149" i="9"/>
  <c r="AL149" i="9"/>
  <c r="U150" i="9"/>
  <c r="V150" i="9"/>
  <c r="W150" i="9"/>
  <c r="X150" i="9"/>
  <c r="Y150" i="9"/>
  <c r="Z150" i="9"/>
  <c r="AA150" i="9"/>
  <c r="AB150" i="9"/>
  <c r="AC150" i="9"/>
  <c r="AD150" i="9"/>
  <c r="AE150" i="9"/>
  <c r="AF150" i="9"/>
  <c r="AG150" i="9"/>
  <c r="AP150" i="9" s="1"/>
  <c r="AH150" i="9"/>
  <c r="AQ150" i="9" s="1"/>
  <c r="AI150" i="9"/>
  <c r="AR150" i="9" s="1"/>
  <c r="AJ150" i="9"/>
  <c r="AK150" i="9"/>
  <c r="AL150" i="9"/>
  <c r="U151" i="9"/>
  <c r="V151" i="9"/>
  <c r="W151" i="9"/>
  <c r="X151" i="9"/>
  <c r="Y151" i="9"/>
  <c r="Z151" i="9"/>
  <c r="AA151" i="9"/>
  <c r="AB151" i="9"/>
  <c r="AC151" i="9"/>
  <c r="AD151" i="9"/>
  <c r="AE151" i="9"/>
  <c r="AF151" i="9"/>
  <c r="AG151" i="9"/>
  <c r="AP151" i="9" s="1"/>
  <c r="AH151" i="9"/>
  <c r="AQ151" i="9" s="1"/>
  <c r="AI151" i="9"/>
  <c r="AR151" i="9" s="1"/>
  <c r="AJ151" i="9"/>
  <c r="AK151" i="9"/>
  <c r="AL151" i="9"/>
  <c r="U152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P152" i="9" s="1"/>
  <c r="AH152" i="9"/>
  <c r="AQ152" i="9" s="1"/>
  <c r="AI152" i="9"/>
  <c r="AR152" i="9" s="1"/>
  <c r="AJ152" i="9"/>
  <c r="AK152" i="9"/>
  <c r="AL152" i="9"/>
  <c r="U153" i="9"/>
  <c r="V153" i="9"/>
  <c r="W153" i="9"/>
  <c r="X153" i="9"/>
  <c r="Y153" i="9"/>
  <c r="Z153" i="9"/>
  <c r="AA153" i="9"/>
  <c r="AB153" i="9"/>
  <c r="AC153" i="9"/>
  <c r="AD153" i="9"/>
  <c r="AE153" i="9"/>
  <c r="AF153" i="9"/>
  <c r="AG153" i="9"/>
  <c r="AP153" i="9" s="1"/>
  <c r="AH153" i="9"/>
  <c r="AQ153" i="9" s="1"/>
  <c r="AI153" i="9"/>
  <c r="AR153" i="9" s="1"/>
  <c r="AJ153" i="9"/>
  <c r="AK153" i="9"/>
  <c r="AL153" i="9"/>
  <c r="U154" i="9"/>
  <c r="V154" i="9"/>
  <c r="W154" i="9"/>
  <c r="X154" i="9"/>
  <c r="Y154" i="9"/>
  <c r="Z154" i="9"/>
  <c r="AA154" i="9"/>
  <c r="AB154" i="9"/>
  <c r="AC154" i="9"/>
  <c r="AD154" i="9"/>
  <c r="AE154" i="9"/>
  <c r="AF154" i="9"/>
  <c r="AG154" i="9"/>
  <c r="AP154" i="9" s="1"/>
  <c r="AH154" i="9"/>
  <c r="AQ154" i="9" s="1"/>
  <c r="AI154" i="9"/>
  <c r="AR154" i="9" s="1"/>
  <c r="AJ154" i="9"/>
  <c r="AK154" i="9"/>
  <c r="AL154" i="9"/>
  <c r="U155" i="9"/>
  <c r="V155" i="9"/>
  <c r="W155" i="9"/>
  <c r="X155" i="9"/>
  <c r="Y155" i="9"/>
  <c r="Z155" i="9"/>
  <c r="AA155" i="9"/>
  <c r="AB155" i="9"/>
  <c r="AC155" i="9"/>
  <c r="AD155" i="9"/>
  <c r="AE155" i="9"/>
  <c r="AF155" i="9"/>
  <c r="AG155" i="9"/>
  <c r="AP155" i="9" s="1"/>
  <c r="AH155" i="9"/>
  <c r="AQ155" i="9" s="1"/>
  <c r="AI155" i="9"/>
  <c r="AR155" i="9" s="1"/>
  <c r="AJ155" i="9"/>
  <c r="AK155" i="9"/>
  <c r="AL155" i="9"/>
  <c r="U156" i="9"/>
  <c r="V156" i="9"/>
  <c r="W156" i="9"/>
  <c r="X156" i="9"/>
  <c r="Y156" i="9"/>
  <c r="Z156" i="9"/>
  <c r="AA156" i="9"/>
  <c r="AB156" i="9"/>
  <c r="AC156" i="9"/>
  <c r="AD156" i="9"/>
  <c r="AE156" i="9"/>
  <c r="AF156" i="9"/>
  <c r="AG156" i="9"/>
  <c r="AP156" i="9" s="1"/>
  <c r="AH156" i="9"/>
  <c r="AQ156" i="9" s="1"/>
  <c r="AI156" i="9"/>
  <c r="AR156" i="9" s="1"/>
  <c r="AJ156" i="9"/>
  <c r="AK156" i="9"/>
  <c r="AL156" i="9"/>
  <c r="U157" i="9"/>
  <c r="V157" i="9"/>
  <c r="W157" i="9"/>
  <c r="X157" i="9"/>
  <c r="Y157" i="9"/>
  <c r="Z157" i="9"/>
  <c r="AA157" i="9"/>
  <c r="AB157" i="9"/>
  <c r="AC157" i="9"/>
  <c r="AD157" i="9"/>
  <c r="AE157" i="9"/>
  <c r="AF157" i="9"/>
  <c r="AG157" i="9"/>
  <c r="AP157" i="9" s="1"/>
  <c r="AH157" i="9"/>
  <c r="AQ157" i="9" s="1"/>
  <c r="AI157" i="9"/>
  <c r="AR157" i="9" s="1"/>
  <c r="AJ157" i="9"/>
  <c r="AK157" i="9"/>
  <c r="AL157" i="9"/>
  <c r="U158" i="9"/>
  <c r="V158" i="9"/>
  <c r="W158" i="9"/>
  <c r="X158" i="9"/>
  <c r="Y158" i="9"/>
  <c r="Z158" i="9"/>
  <c r="AA158" i="9"/>
  <c r="AB158" i="9"/>
  <c r="AC158" i="9"/>
  <c r="AD158" i="9"/>
  <c r="AE158" i="9"/>
  <c r="AF158" i="9"/>
  <c r="AG158" i="9"/>
  <c r="AP158" i="9" s="1"/>
  <c r="AH158" i="9"/>
  <c r="AQ158" i="9" s="1"/>
  <c r="AI158" i="9"/>
  <c r="AR158" i="9" s="1"/>
  <c r="AJ158" i="9"/>
  <c r="AK158" i="9"/>
  <c r="AL158" i="9"/>
  <c r="U159" i="9"/>
  <c r="V159" i="9"/>
  <c r="W159" i="9"/>
  <c r="X159" i="9"/>
  <c r="Y159" i="9"/>
  <c r="Z159" i="9"/>
  <c r="AA159" i="9"/>
  <c r="AB159" i="9"/>
  <c r="AC159" i="9"/>
  <c r="AD159" i="9"/>
  <c r="AE159" i="9"/>
  <c r="AF159" i="9"/>
  <c r="AG159" i="9"/>
  <c r="AP159" i="9" s="1"/>
  <c r="AH159" i="9"/>
  <c r="AQ159" i="9" s="1"/>
  <c r="AI159" i="9"/>
  <c r="AR159" i="9" s="1"/>
  <c r="AJ159" i="9"/>
  <c r="AK159" i="9"/>
  <c r="AL159" i="9"/>
  <c r="U160" i="9"/>
  <c r="V160" i="9"/>
  <c r="W160" i="9"/>
  <c r="X160" i="9"/>
  <c r="Y160" i="9"/>
  <c r="Z160" i="9"/>
  <c r="AA160" i="9"/>
  <c r="AB160" i="9"/>
  <c r="AC160" i="9"/>
  <c r="AD160" i="9"/>
  <c r="AE160" i="9"/>
  <c r="AF160" i="9"/>
  <c r="AG160" i="9"/>
  <c r="AP160" i="9" s="1"/>
  <c r="AH160" i="9"/>
  <c r="AQ160" i="9" s="1"/>
  <c r="AI160" i="9"/>
  <c r="AR160" i="9" s="1"/>
  <c r="AJ160" i="9"/>
  <c r="AK160" i="9"/>
  <c r="AL160" i="9"/>
  <c r="U161" i="9"/>
  <c r="V161" i="9"/>
  <c r="W161" i="9"/>
  <c r="X161" i="9"/>
  <c r="Y161" i="9"/>
  <c r="Z161" i="9"/>
  <c r="AA161" i="9"/>
  <c r="AB161" i="9"/>
  <c r="AC161" i="9"/>
  <c r="AD161" i="9"/>
  <c r="AE161" i="9"/>
  <c r="AF161" i="9"/>
  <c r="AG161" i="9"/>
  <c r="AP161" i="9" s="1"/>
  <c r="AH161" i="9"/>
  <c r="AQ161" i="9" s="1"/>
  <c r="AI161" i="9"/>
  <c r="AR161" i="9" s="1"/>
  <c r="AJ161" i="9"/>
  <c r="AK161" i="9"/>
  <c r="AL161" i="9"/>
  <c r="U162" i="9"/>
  <c r="V162" i="9"/>
  <c r="W162" i="9"/>
  <c r="X162" i="9"/>
  <c r="Y162" i="9"/>
  <c r="Z162" i="9"/>
  <c r="AA162" i="9"/>
  <c r="AB162" i="9"/>
  <c r="AC162" i="9"/>
  <c r="AD162" i="9"/>
  <c r="AE162" i="9"/>
  <c r="AF162" i="9"/>
  <c r="AG162" i="9"/>
  <c r="AP162" i="9" s="1"/>
  <c r="AH162" i="9"/>
  <c r="AQ162" i="9" s="1"/>
  <c r="AI162" i="9"/>
  <c r="AR162" i="9" s="1"/>
  <c r="AJ162" i="9"/>
  <c r="AK162" i="9"/>
  <c r="AL162" i="9"/>
  <c r="U163" i="9"/>
  <c r="V163" i="9"/>
  <c r="W163" i="9"/>
  <c r="X163" i="9"/>
  <c r="Y163" i="9"/>
  <c r="Z163" i="9"/>
  <c r="AA163" i="9"/>
  <c r="AB163" i="9"/>
  <c r="AC163" i="9"/>
  <c r="AD163" i="9"/>
  <c r="AE163" i="9"/>
  <c r="AF163" i="9"/>
  <c r="AG163" i="9"/>
  <c r="AP163" i="9" s="1"/>
  <c r="AH163" i="9"/>
  <c r="AQ163" i="9" s="1"/>
  <c r="AI163" i="9"/>
  <c r="AR163" i="9" s="1"/>
  <c r="AJ163" i="9"/>
  <c r="AK163" i="9"/>
  <c r="AL163" i="9"/>
  <c r="U164" i="9"/>
  <c r="V164" i="9"/>
  <c r="W164" i="9"/>
  <c r="X164" i="9"/>
  <c r="Y164" i="9"/>
  <c r="Z164" i="9"/>
  <c r="AA164" i="9"/>
  <c r="AB164" i="9"/>
  <c r="AC164" i="9"/>
  <c r="AD164" i="9"/>
  <c r="AE164" i="9"/>
  <c r="AF164" i="9"/>
  <c r="AG164" i="9"/>
  <c r="AP164" i="9" s="1"/>
  <c r="AH164" i="9"/>
  <c r="AQ164" i="9" s="1"/>
  <c r="AI164" i="9"/>
  <c r="AR164" i="9" s="1"/>
  <c r="AJ164" i="9"/>
  <c r="AK164" i="9"/>
  <c r="AL164" i="9"/>
  <c r="U165" i="9"/>
  <c r="V165" i="9"/>
  <c r="W165" i="9"/>
  <c r="X165" i="9"/>
  <c r="Y165" i="9"/>
  <c r="Z165" i="9"/>
  <c r="AA165" i="9"/>
  <c r="AB165" i="9"/>
  <c r="AC165" i="9"/>
  <c r="AD165" i="9"/>
  <c r="AE165" i="9"/>
  <c r="AF165" i="9"/>
  <c r="AG165" i="9"/>
  <c r="AP165" i="9" s="1"/>
  <c r="AH165" i="9"/>
  <c r="AQ165" i="9" s="1"/>
  <c r="AI165" i="9"/>
  <c r="AR165" i="9" s="1"/>
  <c r="AJ165" i="9"/>
  <c r="AK165" i="9"/>
  <c r="AL165" i="9"/>
  <c r="U166" i="9"/>
  <c r="V166" i="9"/>
  <c r="W166" i="9"/>
  <c r="X166" i="9"/>
  <c r="Y166" i="9"/>
  <c r="Z166" i="9"/>
  <c r="AA166" i="9"/>
  <c r="AB166" i="9"/>
  <c r="AC166" i="9"/>
  <c r="AD166" i="9"/>
  <c r="AE166" i="9"/>
  <c r="AF166" i="9"/>
  <c r="AG166" i="9"/>
  <c r="AP166" i="9" s="1"/>
  <c r="AH166" i="9"/>
  <c r="AQ166" i="9" s="1"/>
  <c r="AI166" i="9"/>
  <c r="AR166" i="9" s="1"/>
  <c r="AJ166" i="9"/>
  <c r="AK166" i="9"/>
  <c r="AL166" i="9"/>
  <c r="U167" i="9"/>
  <c r="V167" i="9"/>
  <c r="W167" i="9"/>
  <c r="X167" i="9"/>
  <c r="Y167" i="9"/>
  <c r="Z167" i="9"/>
  <c r="AA167" i="9"/>
  <c r="AB167" i="9"/>
  <c r="AC167" i="9"/>
  <c r="AD167" i="9"/>
  <c r="AE167" i="9"/>
  <c r="AF167" i="9"/>
  <c r="AG167" i="9"/>
  <c r="AP167" i="9" s="1"/>
  <c r="AH167" i="9"/>
  <c r="AQ167" i="9" s="1"/>
  <c r="AI167" i="9"/>
  <c r="AR167" i="9" s="1"/>
  <c r="AJ167" i="9"/>
  <c r="AK167" i="9"/>
  <c r="AL167" i="9"/>
  <c r="U168" i="9"/>
  <c r="V168" i="9"/>
  <c r="W168" i="9"/>
  <c r="X168" i="9"/>
  <c r="Y168" i="9"/>
  <c r="Z168" i="9"/>
  <c r="AA168" i="9"/>
  <c r="AB168" i="9"/>
  <c r="AC168" i="9"/>
  <c r="AD168" i="9"/>
  <c r="AE168" i="9"/>
  <c r="AF168" i="9"/>
  <c r="AG168" i="9"/>
  <c r="AP168" i="9" s="1"/>
  <c r="AH168" i="9"/>
  <c r="AQ168" i="9" s="1"/>
  <c r="AI168" i="9"/>
  <c r="AR168" i="9" s="1"/>
  <c r="AJ168" i="9"/>
  <c r="AK168" i="9"/>
  <c r="AL168" i="9"/>
  <c r="U169" i="9"/>
  <c r="V169" i="9"/>
  <c r="W169" i="9"/>
  <c r="X169" i="9"/>
  <c r="Y169" i="9"/>
  <c r="Z169" i="9"/>
  <c r="AA169" i="9"/>
  <c r="AB169" i="9"/>
  <c r="AC169" i="9"/>
  <c r="AD169" i="9"/>
  <c r="AE169" i="9"/>
  <c r="AF169" i="9"/>
  <c r="AG169" i="9"/>
  <c r="AP169" i="9" s="1"/>
  <c r="AH169" i="9"/>
  <c r="AQ169" i="9" s="1"/>
  <c r="AI169" i="9"/>
  <c r="AR169" i="9" s="1"/>
  <c r="AJ169" i="9"/>
  <c r="AK169" i="9"/>
  <c r="AL169" i="9"/>
  <c r="U170" i="9"/>
  <c r="V170" i="9"/>
  <c r="W170" i="9"/>
  <c r="X170" i="9"/>
  <c r="Y170" i="9"/>
  <c r="Z170" i="9"/>
  <c r="AA170" i="9"/>
  <c r="AB170" i="9"/>
  <c r="AC170" i="9"/>
  <c r="AD170" i="9"/>
  <c r="AE170" i="9"/>
  <c r="AF170" i="9"/>
  <c r="AG170" i="9"/>
  <c r="AP170" i="9" s="1"/>
  <c r="AH170" i="9"/>
  <c r="AQ170" i="9" s="1"/>
  <c r="AI170" i="9"/>
  <c r="AR170" i="9" s="1"/>
  <c r="AJ170" i="9"/>
  <c r="AK170" i="9"/>
  <c r="AL170" i="9"/>
  <c r="U171" i="9"/>
  <c r="V171" i="9"/>
  <c r="W171" i="9"/>
  <c r="X171" i="9"/>
  <c r="Y171" i="9"/>
  <c r="Z171" i="9"/>
  <c r="AA171" i="9"/>
  <c r="AB171" i="9"/>
  <c r="AC171" i="9"/>
  <c r="AD171" i="9"/>
  <c r="AE171" i="9"/>
  <c r="AF171" i="9"/>
  <c r="AG171" i="9"/>
  <c r="AP171" i="9" s="1"/>
  <c r="AH171" i="9"/>
  <c r="AQ171" i="9" s="1"/>
  <c r="AI171" i="9"/>
  <c r="AR171" i="9" s="1"/>
  <c r="AJ171" i="9"/>
  <c r="AK171" i="9"/>
  <c r="AL171" i="9"/>
  <c r="U172" i="9"/>
  <c r="V172" i="9"/>
  <c r="W172" i="9"/>
  <c r="X172" i="9"/>
  <c r="Y172" i="9"/>
  <c r="Z172" i="9"/>
  <c r="AA172" i="9"/>
  <c r="AB172" i="9"/>
  <c r="AC172" i="9"/>
  <c r="AD172" i="9"/>
  <c r="AE172" i="9"/>
  <c r="AF172" i="9"/>
  <c r="AG172" i="9"/>
  <c r="AP172" i="9" s="1"/>
  <c r="AH172" i="9"/>
  <c r="AQ172" i="9" s="1"/>
  <c r="AI172" i="9"/>
  <c r="AR172" i="9" s="1"/>
  <c r="AJ172" i="9"/>
  <c r="AK172" i="9"/>
  <c r="AL172" i="9"/>
  <c r="U173" i="9"/>
  <c r="V173" i="9"/>
  <c r="W173" i="9"/>
  <c r="X173" i="9"/>
  <c r="Y173" i="9"/>
  <c r="Z173" i="9"/>
  <c r="AA173" i="9"/>
  <c r="AB173" i="9"/>
  <c r="AC173" i="9"/>
  <c r="AD173" i="9"/>
  <c r="AE173" i="9"/>
  <c r="AF173" i="9"/>
  <c r="AG173" i="9"/>
  <c r="AP173" i="9" s="1"/>
  <c r="AH173" i="9"/>
  <c r="AQ173" i="9" s="1"/>
  <c r="AI173" i="9"/>
  <c r="AR173" i="9" s="1"/>
  <c r="AJ173" i="9"/>
  <c r="AK173" i="9"/>
  <c r="AL173" i="9"/>
  <c r="U174" i="9"/>
  <c r="V174" i="9"/>
  <c r="W174" i="9"/>
  <c r="X174" i="9"/>
  <c r="Y174" i="9"/>
  <c r="Z174" i="9"/>
  <c r="AA174" i="9"/>
  <c r="AB174" i="9"/>
  <c r="AC174" i="9"/>
  <c r="AD174" i="9"/>
  <c r="AE174" i="9"/>
  <c r="AF174" i="9"/>
  <c r="AG174" i="9"/>
  <c r="AP174" i="9" s="1"/>
  <c r="AH174" i="9"/>
  <c r="AQ174" i="9" s="1"/>
  <c r="AI174" i="9"/>
  <c r="AR174" i="9" s="1"/>
  <c r="AJ174" i="9"/>
  <c r="AK174" i="9"/>
  <c r="AL174" i="9"/>
  <c r="U175" i="9"/>
  <c r="V175" i="9"/>
  <c r="W175" i="9"/>
  <c r="X175" i="9"/>
  <c r="Y175" i="9"/>
  <c r="Z175" i="9"/>
  <c r="AA175" i="9"/>
  <c r="AB175" i="9"/>
  <c r="AC175" i="9"/>
  <c r="AD175" i="9"/>
  <c r="AE175" i="9"/>
  <c r="AF175" i="9"/>
  <c r="AG175" i="9"/>
  <c r="AP175" i="9" s="1"/>
  <c r="AH175" i="9"/>
  <c r="AQ175" i="9" s="1"/>
  <c r="AI175" i="9"/>
  <c r="AR175" i="9" s="1"/>
  <c r="AJ175" i="9"/>
  <c r="AK175" i="9"/>
  <c r="AL175" i="9"/>
  <c r="U176" i="9"/>
  <c r="V176" i="9"/>
  <c r="W176" i="9"/>
  <c r="X176" i="9"/>
  <c r="Y176" i="9"/>
  <c r="Z176" i="9"/>
  <c r="AA176" i="9"/>
  <c r="AB176" i="9"/>
  <c r="AC176" i="9"/>
  <c r="AD176" i="9"/>
  <c r="AE176" i="9"/>
  <c r="AF176" i="9"/>
  <c r="AG176" i="9"/>
  <c r="AP176" i="9" s="1"/>
  <c r="AH176" i="9"/>
  <c r="AQ176" i="9" s="1"/>
  <c r="AI176" i="9"/>
  <c r="AR176" i="9" s="1"/>
  <c r="AJ176" i="9"/>
  <c r="AK176" i="9"/>
  <c r="AL176" i="9"/>
  <c r="U177" i="9"/>
  <c r="V177" i="9"/>
  <c r="W177" i="9"/>
  <c r="X177" i="9"/>
  <c r="Y177" i="9"/>
  <c r="Z177" i="9"/>
  <c r="AA177" i="9"/>
  <c r="AB177" i="9"/>
  <c r="AC177" i="9"/>
  <c r="AD177" i="9"/>
  <c r="AE177" i="9"/>
  <c r="AF177" i="9"/>
  <c r="AG177" i="9"/>
  <c r="AP177" i="9" s="1"/>
  <c r="AH177" i="9"/>
  <c r="AQ177" i="9" s="1"/>
  <c r="AI177" i="9"/>
  <c r="AR177" i="9" s="1"/>
  <c r="AJ177" i="9"/>
  <c r="AK177" i="9"/>
  <c r="AL177" i="9"/>
  <c r="U178" i="9"/>
  <c r="V178" i="9"/>
  <c r="W178" i="9"/>
  <c r="X178" i="9"/>
  <c r="Y178" i="9"/>
  <c r="Z178" i="9"/>
  <c r="AA178" i="9"/>
  <c r="AB178" i="9"/>
  <c r="AC178" i="9"/>
  <c r="AD178" i="9"/>
  <c r="AE178" i="9"/>
  <c r="AF178" i="9"/>
  <c r="AG178" i="9"/>
  <c r="AP178" i="9" s="1"/>
  <c r="AH178" i="9"/>
  <c r="AQ178" i="9" s="1"/>
  <c r="AI178" i="9"/>
  <c r="AR178" i="9" s="1"/>
  <c r="AJ178" i="9"/>
  <c r="AK178" i="9"/>
  <c r="AL178" i="9"/>
  <c r="U179" i="9"/>
  <c r="V179" i="9"/>
  <c r="W179" i="9"/>
  <c r="X179" i="9"/>
  <c r="Y179" i="9"/>
  <c r="Z179" i="9"/>
  <c r="AA179" i="9"/>
  <c r="AB179" i="9"/>
  <c r="AC179" i="9"/>
  <c r="AD179" i="9"/>
  <c r="AE179" i="9"/>
  <c r="AF179" i="9"/>
  <c r="AG179" i="9"/>
  <c r="AP179" i="9" s="1"/>
  <c r="AH179" i="9"/>
  <c r="AQ179" i="9" s="1"/>
  <c r="AI179" i="9"/>
  <c r="AR179" i="9" s="1"/>
  <c r="AJ179" i="9"/>
  <c r="AK179" i="9"/>
  <c r="AL179" i="9"/>
  <c r="U180" i="9"/>
  <c r="V180" i="9"/>
  <c r="W180" i="9"/>
  <c r="X180" i="9"/>
  <c r="Y180" i="9"/>
  <c r="Z180" i="9"/>
  <c r="AA180" i="9"/>
  <c r="AB180" i="9"/>
  <c r="AC180" i="9"/>
  <c r="AD180" i="9"/>
  <c r="AE180" i="9"/>
  <c r="AF180" i="9"/>
  <c r="AG180" i="9"/>
  <c r="AP180" i="9" s="1"/>
  <c r="AH180" i="9"/>
  <c r="AQ180" i="9" s="1"/>
  <c r="AI180" i="9"/>
  <c r="AR180" i="9" s="1"/>
  <c r="AJ180" i="9"/>
  <c r="AK180" i="9"/>
  <c r="AL180" i="9"/>
  <c r="U181" i="9"/>
  <c r="V181" i="9"/>
  <c r="W181" i="9"/>
  <c r="X181" i="9"/>
  <c r="Y181" i="9"/>
  <c r="Z181" i="9"/>
  <c r="AA181" i="9"/>
  <c r="AB181" i="9"/>
  <c r="AC181" i="9"/>
  <c r="AD181" i="9"/>
  <c r="AE181" i="9"/>
  <c r="AF181" i="9"/>
  <c r="AG181" i="9"/>
  <c r="AP181" i="9" s="1"/>
  <c r="AH181" i="9"/>
  <c r="AQ181" i="9" s="1"/>
  <c r="AI181" i="9"/>
  <c r="AR181" i="9" s="1"/>
  <c r="AJ181" i="9"/>
  <c r="AK181" i="9"/>
  <c r="AL181" i="9"/>
  <c r="U182" i="9"/>
  <c r="V182" i="9"/>
  <c r="W182" i="9"/>
  <c r="X182" i="9"/>
  <c r="Y182" i="9"/>
  <c r="Z182" i="9"/>
  <c r="AA182" i="9"/>
  <c r="AB182" i="9"/>
  <c r="AC182" i="9"/>
  <c r="AD182" i="9"/>
  <c r="AE182" i="9"/>
  <c r="AF182" i="9"/>
  <c r="AG182" i="9"/>
  <c r="AP182" i="9" s="1"/>
  <c r="AH182" i="9"/>
  <c r="AQ182" i="9" s="1"/>
  <c r="AI182" i="9"/>
  <c r="AR182" i="9" s="1"/>
  <c r="AJ182" i="9"/>
  <c r="AK182" i="9"/>
  <c r="AL182" i="9"/>
  <c r="U183" i="9"/>
  <c r="V183" i="9"/>
  <c r="W183" i="9"/>
  <c r="X183" i="9"/>
  <c r="Y183" i="9"/>
  <c r="Z183" i="9"/>
  <c r="AA183" i="9"/>
  <c r="AB183" i="9"/>
  <c r="AC183" i="9"/>
  <c r="AD183" i="9"/>
  <c r="AE183" i="9"/>
  <c r="AF183" i="9"/>
  <c r="AG183" i="9"/>
  <c r="AP183" i="9" s="1"/>
  <c r="AH183" i="9"/>
  <c r="AQ183" i="9" s="1"/>
  <c r="AI183" i="9"/>
  <c r="AR183" i="9" s="1"/>
  <c r="AJ183" i="9"/>
  <c r="AK183" i="9"/>
  <c r="AL183" i="9"/>
  <c r="U184" i="9"/>
  <c r="V184" i="9"/>
  <c r="W184" i="9"/>
  <c r="X184" i="9"/>
  <c r="Y184" i="9"/>
  <c r="Z184" i="9"/>
  <c r="AA184" i="9"/>
  <c r="AB184" i="9"/>
  <c r="AC184" i="9"/>
  <c r="AD184" i="9"/>
  <c r="AE184" i="9"/>
  <c r="AF184" i="9"/>
  <c r="AG184" i="9"/>
  <c r="AP184" i="9" s="1"/>
  <c r="AH184" i="9"/>
  <c r="AQ184" i="9" s="1"/>
  <c r="AI184" i="9"/>
  <c r="AR184" i="9" s="1"/>
  <c r="AJ184" i="9"/>
  <c r="AK184" i="9"/>
  <c r="AL184" i="9"/>
  <c r="U185" i="9"/>
  <c r="V185" i="9"/>
  <c r="W185" i="9"/>
  <c r="X185" i="9"/>
  <c r="Y185" i="9"/>
  <c r="Z185" i="9"/>
  <c r="AA185" i="9"/>
  <c r="AB185" i="9"/>
  <c r="AC185" i="9"/>
  <c r="AD185" i="9"/>
  <c r="AE185" i="9"/>
  <c r="AF185" i="9"/>
  <c r="AG185" i="9"/>
  <c r="AP185" i="9" s="1"/>
  <c r="AH185" i="9"/>
  <c r="AQ185" i="9" s="1"/>
  <c r="AI185" i="9"/>
  <c r="AR185" i="9" s="1"/>
  <c r="AJ185" i="9"/>
  <c r="AK185" i="9"/>
  <c r="AL185" i="9"/>
  <c r="U186" i="9"/>
  <c r="V186" i="9"/>
  <c r="W186" i="9"/>
  <c r="X186" i="9"/>
  <c r="Y186" i="9"/>
  <c r="Z186" i="9"/>
  <c r="AA186" i="9"/>
  <c r="AB186" i="9"/>
  <c r="AC186" i="9"/>
  <c r="AD186" i="9"/>
  <c r="AE186" i="9"/>
  <c r="AF186" i="9"/>
  <c r="AG186" i="9"/>
  <c r="AP186" i="9" s="1"/>
  <c r="AH186" i="9"/>
  <c r="AQ186" i="9" s="1"/>
  <c r="AI186" i="9"/>
  <c r="AR186" i="9" s="1"/>
  <c r="AJ186" i="9"/>
  <c r="AK186" i="9"/>
  <c r="AL186" i="9"/>
  <c r="U187" i="9"/>
  <c r="V187" i="9"/>
  <c r="W187" i="9"/>
  <c r="X187" i="9"/>
  <c r="Y187" i="9"/>
  <c r="Z187" i="9"/>
  <c r="AA187" i="9"/>
  <c r="AB187" i="9"/>
  <c r="AC187" i="9"/>
  <c r="AD187" i="9"/>
  <c r="AE187" i="9"/>
  <c r="AF187" i="9"/>
  <c r="AG187" i="9"/>
  <c r="AP187" i="9" s="1"/>
  <c r="AH187" i="9"/>
  <c r="AQ187" i="9" s="1"/>
  <c r="AI187" i="9"/>
  <c r="AR187" i="9" s="1"/>
  <c r="AJ187" i="9"/>
  <c r="AK187" i="9"/>
  <c r="AL187" i="9"/>
  <c r="U188" i="9"/>
  <c r="V188" i="9"/>
  <c r="W188" i="9"/>
  <c r="X188" i="9"/>
  <c r="Y188" i="9"/>
  <c r="Z188" i="9"/>
  <c r="AA188" i="9"/>
  <c r="AB188" i="9"/>
  <c r="AC188" i="9"/>
  <c r="AD188" i="9"/>
  <c r="AE188" i="9"/>
  <c r="AF188" i="9"/>
  <c r="AG188" i="9"/>
  <c r="AP188" i="9" s="1"/>
  <c r="AH188" i="9"/>
  <c r="AQ188" i="9" s="1"/>
  <c r="AI188" i="9"/>
  <c r="AR188" i="9" s="1"/>
  <c r="AJ188" i="9"/>
  <c r="AK188" i="9"/>
  <c r="AL188" i="9"/>
  <c r="U189" i="9"/>
  <c r="V189" i="9"/>
  <c r="W189" i="9"/>
  <c r="X189" i="9"/>
  <c r="Y189" i="9"/>
  <c r="Z189" i="9"/>
  <c r="AA189" i="9"/>
  <c r="AB189" i="9"/>
  <c r="AC189" i="9"/>
  <c r="AD189" i="9"/>
  <c r="AE189" i="9"/>
  <c r="AF189" i="9"/>
  <c r="AG189" i="9"/>
  <c r="AP189" i="9" s="1"/>
  <c r="AH189" i="9"/>
  <c r="AQ189" i="9" s="1"/>
  <c r="AI189" i="9"/>
  <c r="AR189" i="9" s="1"/>
  <c r="AJ189" i="9"/>
  <c r="AK189" i="9"/>
  <c r="AL189" i="9"/>
  <c r="U190" i="9"/>
  <c r="V190" i="9"/>
  <c r="W190" i="9"/>
  <c r="X190" i="9"/>
  <c r="Y190" i="9"/>
  <c r="Z190" i="9"/>
  <c r="AA190" i="9"/>
  <c r="AB190" i="9"/>
  <c r="AC190" i="9"/>
  <c r="AD190" i="9"/>
  <c r="AE190" i="9"/>
  <c r="AF190" i="9"/>
  <c r="AG190" i="9"/>
  <c r="AP190" i="9" s="1"/>
  <c r="AH190" i="9"/>
  <c r="AQ190" i="9" s="1"/>
  <c r="AI190" i="9"/>
  <c r="AR190" i="9" s="1"/>
  <c r="AJ190" i="9"/>
  <c r="AK190" i="9"/>
  <c r="AL190" i="9"/>
  <c r="U191" i="9"/>
  <c r="V191" i="9"/>
  <c r="W191" i="9"/>
  <c r="X191" i="9"/>
  <c r="Y191" i="9"/>
  <c r="Z191" i="9"/>
  <c r="AA191" i="9"/>
  <c r="AB191" i="9"/>
  <c r="AC191" i="9"/>
  <c r="AD191" i="9"/>
  <c r="AE191" i="9"/>
  <c r="AF191" i="9"/>
  <c r="AG191" i="9"/>
  <c r="AP191" i="9" s="1"/>
  <c r="AH191" i="9"/>
  <c r="AQ191" i="9" s="1"/>
  <c r="AI191" i="9"/>
  <c r="AR191" i="9" s="1"/>
  <c r="AJ191" i="9"/>
  <c r="AK191" i="9"/>
  <c r="AL191" i="9"/>
  <c r="U192" i="9"/>
  <c r="V192" i="9"/>
  <c r="W192" i="9"/>
  <c r="X192" i="9"/>
  <c r="Y192" i="9"/>
  <c r="Z192" i="9"/>
  <c r="AA192" i="9"/>
  <c r="AB192" i="9"/>
  <c r="AC192" i="9"/>
  <c r="AD192" i="9"/>
  <c r="AE192" i="9"/>
  <c r="AF192" i="9"/>
  <c r="AG192" i="9"/>
  <c r="AP192" i="9" s="1"/>
  <c r="AH192" i="9"/>
  <c r="AQ192" i="9" s="1"/>
  <c r="AI192" i="9"/>
  <c r="AR192" i="9" s="1"/>
  <c r="AJ192" i="9"/>
  <c r="AK192" i="9"/>
  <c r="AL192" i="9"/>
  <c r="U193" i="9"/>
  <c r="V193" i="9"/>
  <c r="W193" i="9"/>
  <c r="X193" i="9"/>
  <c r="Y193" i="9"/>
  <c r="Z193" i="9"/>
  <c r="AA193" i="9"/>
  <c r="AB193" i="9"/>
  <c r="AC193" i="9"/>
  <c r="AD193" i="9"/>
  <c r="AE193" i="9"/>
  <c r="AF193" i="9"/>
  <c r="AG193" i="9"/>
  <c r="AP193" i="9" s="1"/>
  <c r="AH193" i="9"/>
  <c r="AQ193" i="9" s="1"/>
  <c r="AI193" i="9"/>
  <c r="AR193" i="9" s="1"/>
  <c r="AJ193" i="9"/>
  <c r="AK193" i="9"/>
  <c r="AL193" i="9"/>
  <c r="U194" i="9"/>
  <c r="V194" i="9"/>
  <c r="W194" i="9"/>
  <c r="X194" i="9"/>
  <c r="Y194" i="9"/>
  <c r="Z194" i="9"/>
  <c r="AA194" i="9"/>
  <c r="AB194" i="9"/>
  <c r="AC194" i="9"/>
  <c r="AD194" i="9"/>
  <c r="AE194" i="9"/>
  <c r="AF194" i="9"/>
  <c r="AG194" i="9"/>
  <c r="AP194" i="9" s="1"/>
  <c r="AH194" i="9"/>
  <c r="AQ194" i="9" s="1"/>
  <c r="AI194" i="9"/>
  <c r="AR194" i="9" s="1"/>
  <c r="AJ194" i="9"/>
  <c r="AK194" i="9"/>
  <c r="AL194" i="9"/>
  <c r="U195" i="9"/>
  <c r="V195" i="9"/>
  <c r="W195" i="9"/>
  <c r="X195" i="9"/>
  <c r="Y195" i="9"/>
  <c r="Z195" i="9"/>
  <c r="AA195" i="9"/>
  <c r="AB195" i="9"/>
  <c r="AC195" i="9"/>
  <c r="AD195" i="9"/>
  <c r="AE195" i="9"/>
  <c r="AF195" i="9"/>
  <c r="AG195" i="9"/>
  <c r="AP195" i="9" s="1"/>
  <c r="AH195" i="9"/>
  <c r="AQ195" i="9" s="1"/>
  <c r="AI195" i="9"/>
  <c r="AR195" i="9" s="1"/>
  <c r="AJ195" i="9"/>
  <c r="AK195" i="9"/>
  <c r="AL195" i="9"/>
  <c r="U196" i="9"/>
  <c r="V196" i="9"/>
  <c r="W196" i="9"/>
  <c r="X196" i="9"/>
  <c r="Y196" i="9"/>
  <c r="Z196" i="9"/>
  <c r="AA196" i="9"/>
  <c r="AB196" i="9"/>
  <c r="AC196" i="9"/>
  <c r="AD196" i="9"/>
  <c r="AE196" i="9"/>
  <c r="AF196" i="9"/>
  <c r="AG196" i="9"/>
  <c r="AP196" i="9" s="1"/>
  <c r="AH196" i="9"/>
  <c r="AQ196" i="9" s="1"/>
  <c r="AI196" i="9"/>
  <c r="AR196" i="9" s="1"/>
  <c r="AJ196" i="9"/>
  <c r="AK196" i="9"/>
  <c r="AL196" i="9"/>
  <c r="U197" i="9"/>
  <c r="V197" i="9"/>
  <c r="W197" i="9"/>
  <c r="X197" i="9"/>
  <c r="Y197" i="9"/>
  <c r="Z197" i="9"/>
  <c r="AA197" i="9"/>
  <c r="AB197" i="9"/>
  <c r="AC197" i="9"/>
  <c r="AD197" i="9"/>
  <c r="AE197" i="9"/>
  <c r="AF197" i="9"/>
  <c r="AG197" i="9"/>
  <c r="AP197" i="9" s="1"/>
  <c r="AH197" i="9"/>
  <c r="AQ197" i="9" s="1"/>
  <c r="AI197" i="9"/>
  <c r="AR197" i="9" s="1"/>
  <c r="AJ197" i="9"/>
  <c r="AK197" i="9"/>
  <c r="AL197" i="9"/>
  <c r="U198" i="9"/>
  <c r="V198" i="9"/>
  <c r="W198" i="9"/>
  <c r="X198" i="9"/>
  <c r="Y198" i="9"/>
  <c r="Z198" i="9"/>
  <c r="AA198" i="9"/>
  <c r="AB198" i="9"/>
  <c r="AC198" i="9"/>
  <c r="AD198" i="9"/>
  <c r="AE198" i="9"/>
  <c r="AF198" i="9"/>
  <c r="AG198" i="9"/>
  <c r="AP198" i="9" s="1"/>
  <c r="AH198" i="9"/>
  <c r="AQ198" i="9" s="1"/>
  <c r="AI198" i="9"/>
  <c r="AR198" i="9" s="1"/>
  <c r="AJ198" i="9"/>
  <c r="AK198" i="9"/>
  <c r="AL198" i="9"/>
  <c r="U199" i="9"/>
  <c r="V199" i="9"/>
  <c r="W199" i="9"/>
  <c r="X199" i="9"/>
  <c r="Y199" i="9"/>
  <c r="Z199" i="9"/>
  <c r="AA199" i="9"/>
  <c r="AB199" i="9"/>
  <c r="AC199" i="9"/>
  <c r="AD199" i="9"/>
  <c r="AE199" i="9"/>
  <c r="AF199" i="9"/>
  <c r="AG199" i="9"/>
  <c r="AP199" i="9" s="1"/>
  <c r="AH199" i="9"/>
  <c r="AQ199" i="9" s="1"/>
  <c r="AI199" i="9"/>
  <c r="AR199" i="9" s="1"/>
  <c r="AJ199" i="9"/>
  <c r="AK199" i="9"/>
  <c r="AL199" i="9"/>
  <c r="U200" i="9"/>
  <c r="V200" i="9"/>
  <c r="W200" i="9"/>
  <c r="X200" i="9"/>
  <c r="Y200" i="9"/>
  <c r="Z200" i="9"/>
  <c r="AA200" i="9"/>
  <c r="AB200" i="9"/>
  <c r="AC200" i="9"/>
  <c r="AD200" i="9"/>
  <c r="AE200" i="9"/>
  <c r="AF200" i="9"/>
  <c r="AG200" i="9"/>
  <c r="AP200" i="9" s="1"/>
  <c r="AH200" i="9"/>
  <c r="AQ200" i="9" s="1"/>
  <c r="AI200" i="9"/>
  <c r="AR200" i="9" s="1"/>
  <c r="AJ200" i="9"/>
  <c r="AK200" i="9"/>
  <c r="AL200" i="9"/>
  <c r="U201" i="9"/>
  <c r="V201" i="9"/>
  <c r="W201" i="9"/>
  <c r="X201" i="9"/>
  <c r="Y201" i="9"/>
  <c r="Z201" i="9"/>
  <c r="AA201" i="9"/>
  <c r="AB201" i="9"/>
  <c r="AC201" i="9"/>
  <c r="AD201" i="9"/>
  <c r="AE201" i="9"/>
  <c r="AF201" i="9"/>
  <c r="AG201" i="9"/>
  <c r="AP201" i="9" s="1"/>
  <c r="AH201" i="9"/>
  <c r="AQ201" i="9" s="1"/>
  <c r="AI201" i="9"/>
  <c r="AR201" i="9" s="1"/>
  <c r="AJ201" i="9"/>
  <c r="AK201" i="9"/>
  <c r="AL201" i="9"/>
  <c r="U202" i="9"/>
  <c r="V202" i="9"/>
  <c r="W202" i="9"/>
  <c r="X202" i="9"/>
  <c r="Y202" i="9"/>
  <c r="Z202" i="9"/>
  <c r="AA202" i="9"/>
  <c r="AB202" i="9"/>
  <c r="AC202" i="9"/>
  <c r="AD202" i="9"/>
  <c r="AE202" i="9"/>
  <c r="AF202" i="9"/>
  <c r="AG202" i="9"/>
  <c r="AP202" i="9" s="1"/>
  <c r="AH202" i="9"/>
  <c r="AQ202" i="9" s="1"/>
  <c r="AI202" i="9"/>
  <c r="AR202" i="9" s="1"/>
  <c r="AJ202" i="9"/>
  <c r="AK202" i="9"/>
  <c r="AL202" i="9"/>
  <c r="U203" i="9"/>
  <c r="V203" i="9"/>
  <c r="W203" i="9"/>
  <c r="X203" i="9"/>
  <c r="Y203" i="9"/>
  <c r="Z203" i="9"/>
  <c r="AA203" i="9"/>
  <c r="AB203" i="9"/>
  <c r="AC203" i="9"/>
  <c r="AD203" i="9"/>
  <c r="AE203" i="9"/>
  <c r="AF203" i="9"/>
  <c r="AG203" i="9"/>
  <c r="AP203" i="9" s="1"/>
  <c r="AH203" i="9"/>
  <c r="AQ203" i="9" s="1"/>
  <c r="AI203" i="9"/>
  <c r="AR203" i="9" s="1"/>
  <c r="AJ203" i="9"/>
  <c r="AK203" i="9"/>
  <c r="AL203" i="9"/>
  <c r="U204" i="9"/>
  <c r="V204" i="9"/>
  <c r="W204" i="9"/>
  <c r="X204" i="9"/>
  <c r="Y204" i="9"/>
  <c r="Z204" i="9"/>
  <c r="AA204" i="9"/>
  <c r="AB204" i="9"/>
  <c r="AC204" i="9"/>
  <c r="AD204" i="9"/>
  <c r="AE204" i="9"/>
  <c r="AF204" i="9"/>
  <c r="AG204" i="9"/>
  <c r="AP204" i="9" s="1"/>
  <c r="AH204" i="9"/>
  <c r="AQ204" i="9" s="1"/>
  <c r="AI204" i="9"/>
  <c r="AR204" i="9" s="1"/>
  <c r="AJ204" i="9"/>
  <c r="AK204" i="9"/>
  <c r="AL204" i="9"/>
  <c r="U205" i="9"/>
  <c r="V205" i="9"/>
  <c r="W205" i="9"/>
  <c r="X205" i="9"/>
  <c r="Y205" i="9"/>
  <c r="Z205" i="9"/>
  <c r="AA205" i="9"/>
  <c r="AB205" i="9"/>
  <c r="AC205" i="9"/>
  <c r="AD205" i="9"/>
  <c r="AE205" i="9"/>
  <c r="AF205" i="9"/>
  <c r="AG205" i="9"/>
  <c r="AP205" i="9" s="1"/>
  <c r="AH205" i="9"/>
  <c r="AQ205" i="9" s="1"/>
  <c r="AI205" i="9"/>
  <c r="AR205" i="9" s="1"/>
  <c r="AJ205" i="9"/>
  <c r="AK205" i="9"/>
  <c r="AL205" i="9"/>
  <c r="U206" i="9"/>
  <c r="V206" i="9"/>
  <c r="W206" i="9"/>
  <c r="X206" i="9"/>
  <c r="Y206" i="9"/>
  <c r="Z206" i="9"/>
  <c r="AA206" i="9"/>
  <c r="AB206" i="9"/>
  <c r="AC206" i="9"/>
  <c r="AD206" i="9"/>
  <c r="AE206" i="9"/>
  <c r="AF206" i="9"/>
  <c r="AG206" i="9"/>
  <c r="AP206" i="9" s="1"/>
  <c r="AH206" i="9"/>
  <c r="AQ206" i="9" s="1"/>
  <c r="AI206" i="9"/>
  <c r="AR206" i="9" s="1"/>
  <c r="AJ206" i="9"/>
  <c r="AK206" i="9"/>
  <c r="AL206" i="9"/>
  <c r="U207" i="9"/>
  <c r="V207" i="9"/>
  <c r="W207" i="9"/>
  <c r="X207" i="9"/>
  <c r="Y207" i="9"/>
  <c r="Z207" i="9"/>
  <c r="AA207" i="9"/>
  <c r="AB207" i="9"/>
  <c r="AC207" i="9"/>
  <c r="AD207" i="9"/>
  <c r="AE207" i="9"/>
  <c r="AF207" i="9"/>
  <c r="AG207" i="9"/>
  <c r="AP207" i="9" s="1"/>
  <c r="AH207" i="9"/>
  <c r="AQ207" i="9" s="1"/>
  <c r="AI207" i="9"/>
  <c r="AR207" i="9" s="1"/>
  <c r="AJ207" i="9"/>
  <c r="AK207" i="9"/>
  <c r="AL207" i="9"/>
  <c r="U208" i="9"/>
  <c r="V208" i="9"/>
  <c r="W208" i="9"/>
  <c r="X208" i="9"/>
  <c r="Y208" i="9"/>
  <c r="Z208" i="9"/>
  <c r="AA208" i="9"/>
  <c r="AB208" i="9"/>
  <c r="AC208" i="9"/>
  <c r="AD208" i="9"/>
  <c r="AE208" i="9"/>
  <c r="AF208" i="9"/>
  <c r="AG208" i="9"/>
  <c r="AP208" i="9" s="1"/>
  <c r="AH208" i="9"/>
  <c r="AQ208" i="9" s="1"/>
  <c r="AI208" i="9"/>
  <c r="AR208" i="9" s="1"/>
  <c r="AJ208" i="9"/>
  <c r="AK208" i="9"/>
  <c r="AL208" i="9"/>
  <c r="U209" i="9"/>
  <c r="V209" i="9"/>
  <c r="W209" i="9"/>
  <c r="X209" i="9"/>
  <c r="Y209" i="9"/>
  <c r="Z209" i="9"/>
  <c r="AA209" i="9"/>
  <c r="AB209" i="9"/>
  <c r="AC209" i="9"/>
  <c r="AD209" i="9"/>
  <c r="AE209" i="9"/>
  <c r="AF209" i="9"/>
  <c r="AG209" i="9"/>
  <c r="AP209" i="9" s="1"/>
  <c r="AH209" i="9"/>
  <c r="AQ209" i="9" s="1"/>
  <c r="AI209" i="9"/>
  <c r="AR209" i="9" s="1"/>
  <c r="AJ209" i="9"/>
  <c r="AK209" i="9"/>
  <c r="AL209" i="9"/>
  <c r="U210" i="9"/>
  <c r="V210" i="9"/>
  <c r="W210" i="9"/>
  <c r="X210" i="9"/>
  <c r="Y210" i="9"/>
  <c r="Z210" i="9"/>
  <c r="AA210" i="9"/>
  <c r="AB210" i="9"/>
  <c r="AC210" i="9"/>
  <c r="AD210" i="9"/>
  <c r="AE210" i="9"/>
  <c r="AF210" i="9"/>
  <c r="AG210" i="9"/>
  <c r="AP210" i="9" s="1"/>
  <c r="AH210" i="9"/>
  <c r="AQ210" i="9" s="1"/>
  <c r="AI210" i="9"/>
  <c r="AR210" i="9" s="1"/>
  <c r="AJ210" i="9"/>
  <c r="AK210" i="9"/>
  <c r="AL210" i="9"/>
  <c r="U211" i="9"/>
  <c r="V211" i="9"/>
  <c r="W211" i="9"/>
  <c r="X211" i="9"/>
  <c r="Y211" i="9"/>
  <c r="Z211" i="9"/>
  <c r="AA211" i="9"/>
  <c r="AB211" i="9"/>
  <c r="AC211" i="9"/>
  <c r="AD211" i="9"/>
  <c r="AE211" i="9"/>
  <c r="AF211" i="9"/>
  <c r="AG211" i="9"/>
  <c r="AP211" i="9" s="1"/>
  <c r="AH211" i="9"/>
  <c r="AQ211" i="9" s="1"/>
  <c r="AI211" i="9"/>
  <c r="AR211" i="9" s="1"/>
  <c r="AJ211" i="9"/>
  <c r="AK211" i="9"/>
  <c r="AL211" i="9"/>
  <c r="U212" i="9"/>
  <c r="V212" i="9"/>
  <c r="W212" i="9"/>
  <c r="X212" i="9"/>
  <c r="Y212" i="9"/>
  <c r="Z212" i="9"/>
  <c r="AA212" i="9"/>
  <c r="AB212" i="9"/>
  <c r="AC212" i="9"/>
  <c r="AD212" i="9"/>
  <c r="AE212" i="9"/>
  <c r="AF212" i="9"/>
  <c r="AG212" i="9"/>
  <c r="AP212" i="9" s="1"/>
  <c r="AH212" i="9"/>
  <c r="AQ212" i="9" s="1"/>
  <c r="AI212" i="9"/>
  <c r="AR212" i="9" s="1"/>
  <c r="AJ212" i="9"/>
  <c r="AK212" i="9"/>
  <c r="AL212" i="9"/>
  <c r="U213" i="9"/>
  <c r="V213" i="9"/>
  <c r="W213" i="9"/>
  <c r="X213" i="9"/>
  <c r="Y213" i="9"/>
  <c r="Z213" i="9"/>
  <c r="AA213" i="9"/>
  <c r="AB213" i="9"/>
  <c r="AC213" i="9"/>
  <c r="AD213" i="9"/>
  <c r="AE213" i="9"/>
  <c r="AF213" i="9"/>
  <c r="AG213" i="9"/>
  <c r="AP213" i="9" s="1"/>
  <c r="AH213" i="9"/>
  <c r="AQ213" i="9" s="1"/>
  <c r="AI213" i="9"/>
  <c r="AR213" i="9" s="1"/>
  <c r="AJ213" i="9"/>
  <c r="AK213" i="9"/>
  <c r="AL213" i="9"/>
  <c r="U214" i="9"/>
  <c r="V214" i="9"/>
  <c r="W214" i="9"/>
  <c r="X214" i="9"/>
  <c r="Y214" i="9"/>
  <c r="Z214" i="9"/>
  <c r="AA214" i="9"/>
  <c r="AB214" i="9"/>
  <c r="AC214" i="9"/>
  <c r="AD214" i="9"/>
  <c r="AE214" i="9"/>
  <c r="AF214" i="9"/>
  <c r="AG214" i="9"/>
  <c r="AP214" i="9" s="1"/>
  <c r="AH214" i="9"/>
  <c r="AQ214" i="9" s="1"/>
  <c r="AI214" i="9"/>
  <c r="AR214" i="9" s="1"/>
  <c r="AJ214" i="9"/>
  <c r="AK214" i="9"/>
  <c r="AL214" i="9"/>
  <c r="U215" i="9"/>
  <c r="V215" i="9"/>
  <c r="W215" i="9"/>
  <c r="X215" i="9"/>
  <c r="Y215" i="9"/>
  <c r="Z215" i="9"/>
  <c r="AA215" i="9"/>
  <c r="AB215" i="9"/>
  <c r="AC215" i="9"/>
  <c r="AD215" i="9"/>
  <c r="AE215" i="9"/>
  <c r="AF215" i="9"/>
  <c r="AG215" i="9"/>
  <c r="AP215" i="9" s="1"/>
  <c r="AH215" i="9"/>
  <c r="AQ215" i="9" s="1"/>
  <c r="AI215" i="9"/>
  <c r="AR215" i="9" s="1"/>
  <c r="AJ215" i="9"/>
  <c r="AK215" i="9"/>
  <c r="AL215" i="9"/>
  <c r="U216" i="9"/>
  <c r="V216" i="9"/>
  <c r="W216" i="9"/>
  <c r="X216" i="9"/>
  <c r="Y216" i="9"/>
  <c r="Z216" i="9"/>
  <c r="AA216" i="9"/>
  <c r="AB216" i="9"/>
  <c r="AC216" i="9"/>
  <c r="AD216" i="9"/>
  <c r="AE216" i="9"/>
  <c r="AF216" i="9"/>
  <c r="AG216" i="9"/>
  <c r="AP216" i="9" s="1"/>
  <c r="AH216" i="9"/>
  <c r="AQ216" i="9" s="1"/>
  <c r="AI216" i="9"/>
  <c r="AR216" i="9" s="1"/>
  <c r="AJ216" i="9"/>
  <c r="AK216" i="9"/>
  <c r="AL216" i="9"/>
  <c r="U217" i="9"/>
  <c r="V217" i="9"/>
  <c r="W217" i="9"/>
  <c r="X217" i="9"/>
  <c r="Y217" i="9"/>
  <c r="Z217" i="9"/>
  <c r="AA217" i="9"/>
  <c r="AB217" i="9"/>
  <c r="AC217" i="9"/>
  <c r="AD217" i="9"/>
  <c r="AE217" i="9"/>
  <c r="AF217" i="9"/>
  <c r="AG217" i="9"/>
  <c r="AP217" i="9" s="1"/>
  <c r="AH217" i="9"/>
  <c r="AQ217" i="9" s="1"/>
  <c r="AI217" i="9"/>
  <c r="AR217" i="9" s="1"/>
  <c r="AJ217" i="9"/>
  <c r="AK217" i="9"/>
  <c r="AL217" i="9"/>
  <c r="U218" i="9"/>
  <c r="V218" i="9"/>
  <c r="W218" i="9"/>
  <c r="X218" i="9"/>
  <c r="Y218" i="9"/>
  <c r="Z218" i="9"/>
  <c r="AA218" i="9"/>
  <c r="AB218" i="9"/>
  <c r="AC218" i="9"/>
  <c r="AD218" i="9"/>
  <c r="AE218" i="9"/>
  <c r="AF218" i="9"/>
  <c r="AG218" i="9"/>
  <c r="AP218" i="9" s="1"/>
  <c r="AH218" i="9"/>
  <c r="AQ218" i="9" s="1"/>
  <c r="AI218" i="9"/>
  <c r="AR218" i="9" s="1"/>
  <c r="AJ218" i="9"/>
  <c r="AK218" i="9"/>
  <c r="AL218" i="9"/>
  <c r="U219" i="9"/>
  <c r="V219" i="9"/>
  <c r="W219" i="9"/>
  <c r="X219" i="9"/>
  <c r="Y219" i="9"/>
  <c r="Z219" i="9"/>
  <c r="AA219" i="9"/>
  <c r="AB219" i="9"/>
  <c r="AC219" i="9"/>
  <c r="AD219" i="9"/>
  <c r="AE219" i="9"/>
  <c r="AF219" i="9"/>
  <c r="AG219" i="9"/>
  <c r="AP219" i="9" s="1"/>
  <c r="AH219" i="9"/>
  <c r="AQ219" i="9" s="1"/>
  <c r="AI219" i="9"/>
  <c r="AR219" i="9" s="1"/>
  <c r="AJ219" i="9"/>
  <c r="AK219" i="9"/>
  <c r="AL219" i="9"/>
  <c r="U220" i="9"/>
  <c r="V220" i="9"/>
  <c r="W220" i="9"/>
  <c r="X220" i="9"/>
  <c r="Y220" i="9"/>
  <c r="Z220" i="9"/>
  <c r="AA220" i="9"/>
  <c r="AB220" i="9"/>
  <c r="AC220" i="9"/>
  <c r="AD220" i="9"/>
  <c r="AE220" i="9"/>
  <c r="AF220" i="9"/>
  <c r="AG220" i="9"/>
  <c r="AP220" i="9" s="1"/>
  <c r="AH220" i="9"/>
  <c r="AQ220" i="9" s="1"/>
  <c r="AI220" i="9"/>
  <c r="AR220" i="9" s="1"/>
  <c r="AJ220" i="9"/>
  <c r="AK220" i="9"/>
  <c r="AL220" i="9"/>
  <c r="U221" i="9"/>
  <c r="V221" i="9"/>
  <c r="W221" i="9"/>
  <c r="X221" i="9"/>
  <c r="Y221" i="9"/>
  <c r="Z221" i="9"/>
  <c r="AA221" i="9"/>
  <c r="AB221" i="9"/>
  <c r="AC221" i="9"/>
  <c r="AD221" i="9"/>
  <c r="AE221" i="9"/>
  <c r="AF221" i="9"/>
  <c r="AG221" i="9"/>
  <c r="AP221" i="9" s="1"/>
  <c r="AH221" i="9"/>
  <c r="AQ221" i="9" s="1"/>
  <c r="AI221" i="9"/>
  <c r="AR221" i="9" s="1"/>
  <c r="AJ221" i="9"/>
  <c r="AK221" i="9"/>
  <c r="AL221" i="9"/>
  <c r="U222" i="9"/>
  <c r="V222" i="9"/>
  <c r="W222" i="9"/>
  <c r="X222" i="9"/>
  <c r="Y222" i="9"/>
  <c r="Z222" i="9"/>
  <c r="AA222" i="9"/>
  <c r="AB222" i="9"/>
  <c r="AC222" i="9"/>
  <c r="AD222" i="9"/>
  <c r="AE222" i="9"/>
  <c r="AF222" i="9"/>
  <c r="AG222" i="9"/>
  <c r="AP222" i="9" s="1"/>
  <c r="AH222" i="9"/>
  <c r="AQ222" i="9" s="1"/>
  <c r="AI222" i="9"/>
  <c r="AR222" i="9" s="1"/>
  <c r="AJ222" i="9"/>
  <c r="AK222" i="9"/>
  <c r="AL222" i="9"/>
  <c r="U223" i="9"/>
  <c r="V223" i="9"/>
  <c r="W223" i="9"/>
  <c r="X223" i="9"/>
  <c r="Y223" i="9"/>
  <c r="Z223" i="9"/>
  <c r="AA223" i="9"/>
  <c r="AB223" i="9"/>
  <c r="AC223" i="9"/>
  <c r="AD223" i="9"/>
  <c r="AE223" i="9"/>
  <c r="AF223" i="9"/>
  <c r="AG223" i="9"/>
  <c r="AP223" i="9" s="1"/>
  <c r="AH223" i="9"/>
  <c r="AQ223" i="9" s="1"/>
  <c r="AI223" i="9"/>
  <c r="AR223" i="9" s="1"/>
  <c r="AJ223" i="9"/>
  <c r="AK223" i="9"/>
  <c r="AL223" i="9"/>
  <c r="U224" i="9"/>
  <c r="V224" i="9"/>
  <c r="W224" i="9"/>
  <c r="X224" i="9"/>
  <c r="Y224" i="9"/>
  <c r="Z224" i="9"/>
  <c r="AA224" i="9"/>
  <c r="AB224" i="9"/>
  <c r="AC224" i="9"/>
  <c r="AD224" i="9"/>
  <c r="AE224" i="9"/>
  <c r="AF224" i="9"/>
  <c r="AG224" i="9"/>
  <c r="AP224" i="9" s="1"/>
  <c r="AH224" i="9"/>
  <c r="AQ224" i="9" s="1"/>
  <c r="AI224" i="9"/>
  <c r="AR224" i="9" s="1"/>
  <c r="AJ224" i="9"/>
  <c r="AK224" i="9"/>
  <c r="AL224" i="9"/>
  <c r="U239" i="9"/>
  <c r="V239" i="9"/>
  <c r="W239" i="9"/>
  <c r="X239" i="9"/>
  <c r="Y239" i="9"/>
  <c r="Z239" i="9"/>
  <c r="AA239" i="9"/>
  <c r="AB239" i="9"/>
  <c r="AC239" i="9"/>
  <c r="AD239" i="9"/>
  <c r="AE239" i="9"/>
  <c r="AF239" i="9"/>
  <c r="AG239" i="9"/>
  <c r="AP239" i="9" s="1"/>
  <c r="AH239" i="9"/>
  <c r="AQ239" i="9" s="1"/>
  <c r="AI239" i="9"/>
  <c r="AR239" i="9" s="1"/>
  <c r="AJ239" i="9"/>
  <c r="AK239" i="9"/>
  <c r="AL239" i="9"/>
  <c r="U240" i="9"/>
  <c r="V240" i="9"/>
  <c r="W240" i="9"/>
  <c r="X240" i="9"/>
  <c r="Y240" i="9"/>
  <c r="Z240" i="9"/>
  <c r="AA240" i="9"/>
  <c r="AB240" i="9"/>
  <c r="AC240" i="9"/>
  <c r="AD240" i="9"/>
  <c r="AE240" i="9"/>
  <c r="AF240" i="9"/>
  <c r="AG240" i="9"/>
  <c r="AP240" i="9" s="1"/>
  <c r="AH240" i="9"/>
  <c r="AQ240" i="9" s="1"/>
  <c r="AI240" i="9"/>
  <c r="AR240" i="9" s="1"/>
  <c r="AJ240" i="9"/>
  <c r="AK240" i="9"/>
  <c r="AL240" i="9"/>
  <c r="U241" i="9"/>
  <c r="V241" i="9"/>
  <c r="W241" i="9"/>
  <c r="X241" i="9"/>
  <c r="Y241" i="9"/>
  <c r="Z241" i="9"/>
  <c r="AA241" i="9"/>
  <c r="AB241" i="9"/>
  <c r="AC241" i="9"/>
  <c r="AD241" i="9"/>
  <c r="AE241" i="9"/>
  <c r="AF241" i="9"/>
  <c r="AG241" i="9"/>
  <c r="AP241" i="9" s="1"/>
  <c r="AH241" i="9"/>
  <c r="AQ241" i="9" s="1"/>
  <c r="AI241" i="9"/>
  <c r="AR241" i="9" s="1"/>
  <c r="AJ241" i="9"/>
  <c r="AK241" i="9"/>
  <c r="AL241" i="9"/>
  <c r="U242" i="9"/>
  <c r="V242" i="9"/>
  <c r="W242" i="9"/>
  <c r="X242" i="9"/>
  <c r="Y242" i="9"/>
  <c r="Z242" i="9"/>
  <c r="AA242" i="9"/>
  <c r="AB242" i="9"/>
  <c r="AC242" i="9"/>
  <c r="AD242" i="9"/>
  <c r="AE242" i="9"/>
  <c r="AF242" i="9"/>
  <c r="AG242" i="9"/>
  <c r="AP242" i="9" s="1"/>
  <c r="AH242" i="9"/>
  <c r="AQ242" i="9" s="1"/>
  <c r="AI242" i="9"/>
  <c r="AR242" i="9" s="1"/>
  <c r="AJ242" i="9"/>
  <c r="AK242" i="9"/>
  <c r="AL242" i="9"/>
  <c r="U243" i="9"/>
  <c r="V243" i="9"/>
  <c r="W243" i="9"/>
  <c r="X243" i="9"/>
  <c r="Y243" i="9"/>
  <c r="Z243" i="9"/>
  <c r="AA243" i="9"/>
  <c r="AB243" i="9"/>
  <c r="AC243" i="9"/>
  <c r="AD243" i="9"/>
  <c r="AE243" i="9"/>
  <c r="AF243" i="9"/>
  <c r="AG243" i="9"/>
  <c r="AP243" i="9" s="1"/>
  <c r="AH243" i="9"/>
  <c r="AQ243" i="9" s="1"/>
  <c r="AI243" i="9"/>
  <c r="AR243" i="9" s="1"/>
  <c r="AJ243" i="9"/>
  <c r="AK243" i="9"/>
  <c r="AL243" i="9"/>
  <c r="AJ131" i="9"/>
  <c r="AI131" i="9"/>
  <c r="AR131" i="9" s="1"/>
  <c r="AR244" i="9" s="1"/>
  <c r="AH131" i="9"/>
  <c r="AQ131" i="9" s="1"/>
  <c r="AQ244" i="9" s="1"/>
  <c r="AG131" i="9"/>
  <c r="AP131" i="9" s="1"/>
  <c r="AF131" i="9"/>
  <c r="AE131" i="9"/>
  <c r="AD131" i="9"/>
  <c r="AB131" i="9"/>
  <c r="AA131" i="9"/>
  <c r="Z131" i="9"/>
  <c r="X131" i="9"/>
  <c r="W131" i="9"/>
  <c r="V131" i="9"/>
  <c r="U131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K23" i="9"/>
  <c r="AL23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AI24" i="9"/>
  <c r="AK24" i="9"/>
  <c r="AL24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K74" i="9"/>
  <c r="AL74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AI75" i="9"/>
  <c r="AJ75" i="9"/>
  <c r="AK75" i="9"/>
  <c r="AL75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J76" i="9"/>
  <c r="AK76" i="9"/>
  <c r="AL76" i="9"/>
  <c r="U77" i="9"/>
  <c r="V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AI77" i="9"/>
  <c r="AJ77" i="9"/>
  <c r="AK77" i="9"/>
  <c r="AL77" i="9"/>
  <c r="U78" i="9"/>
  <c r="V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AI78" i="9"/>
  <c r="AJ78" i="9"/>
  <c r="AK78" i="9"/>
  <c r="AL78" i="9"/>
  <c r="U79" i="9"/>
  <c r="V79" i="9"/>
  <c r="W79" i="9"/>
  <c r="X79" i="9"/>
  <c r="Y79" i="9"/>
  <c r="Z79" i="9"/>
  <c r="AA79" i="9"/>
  <c r="AB79" i="9"/>
  <c r="AC79" i="9"/>
  <c r="AD79" i="9"/>
  <c r="AE79" i="9"/>
  <c r="AF79" i="9"/>
  <c r="AG79" i="9"/>
  <c r="AH79" i="9"/>
  <c r="AI79" i="9"/>
  <c r="AJ79" i="9"/>
  <c r="AK79" i="9"/>
  <c r="AL79" i="9"/>
  <c r="U80" i="9"/>
  <c r="V80" i="9"/>
  <c r="W80" i="9"/>
  <c r="X80" i="9"/>
  <c r="Y80" i="9"/>
  <c r="Z80" i="9"/>
  <c r="AA80" i="9"/>
  <c r="AB80" i="9"/>
  <c r="AC80" i="9"/>
  <c r="AD80" i="9"/>
  <c r="AE80" i="9"/>
  <c r="AF80" i="9"/>
  <c r="AG80" i="9"/>
  <c r="AH80" i="9"/>
  <c r="AI80" i="9"/>
  <c r="AJ80" i="9"/>
  <c r="AK80" i="9"/>
  <c r="AL80" i="9"/>
  <c r="U81" i="9"/>
  <c r="V81" i="9"/>
  <c r="W81" i="9"/>
  <c r="X81" i="9"/>
  <c r="Y81" i="9"/>
  <c r="Z81" i="9"/>
  <c r="AA81" i="9"/>
  <c r="AB81" i="9"/>
  <c r="AC81" i="9"/>
  <c r="AD81" i="9"/>
  <c r="AE81" i="9"/>
  <c r="AF81" i="9"/>
  <c r="AG81" i="9"/>
  <c r="AH81" i="9"/>
  <c r="AI81" i="9"/>
  <c r="AJ81" i="9"/>
  <c r="AK81" i="9"/>
  <c r="AL81" i="9"/>
  <c r="U82" i="9"/>
  <c r="V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AI82" i="9"/>
  <c r="AJ82" i="9"/>
  <c r="AK82" i="9"/>
  <c r="AL82" i="9"/>
  <c r="U83" i="9"/>
  <c r="V83" i="9"/>
  <c r="W83" i="9"/>
  <c r="X83" i="9"/>
  <c r="Y83" i="9"/>
  <c r="Z83" i="9"/>
  <c r="AA83" i="9"/>
  <c r="AB83" i="9"/>
  <c r="AC83" i="9"/>
  <c r="AD83" i="9"/>
  <c r="AE83" i="9"/>
  <c r="AF83" i="9"/>
  <c r="AG83" i="9"/>
  <c r="AH83" i="9"/>
  <c r="AI83" i="9"/>
  <c r="AJ83" i="9"/>
  <c r="AK83" i="9"/>
  <c r="AL83" i="9"/>
  <c r="U84" i="9"/>
  <c r="V84" i="9"/>
  <c r="W84" i="9"/>
  <c r="X84" i="9"/>
  <c r="Y84" i="9"/>
  <c r="Z84" i="9"/>
  <c r="AA84" i="9"/>
  <c r="AB84" i="9"/>
  <c r="AC84" i="9"/>
  <c r="AD84" i="9"/>
  <c r="AE84" i="9"/>
  <c r="AF84" i="9"/>
  <c r="AG84" i="9"/>
  <c r="AH84" i="9"/>
  <c r="AI84" i="9"/>
  <c r="AJ84" i="9"/>
  <c r="AK84" i="9"/>
  <c r="AL84" i="9"/>
  <c r="U85" i="9"/>
  <c r="V85" i="9"/>
  <c r="W85" i="9"/>
  <c r="X85" i="9"/>
  <c r="Y85" i="9"/>
  <c r="Z85" i="9"/>
  <c r="AA85" i="9"/>
  <c r="AB85" i="9"/>
  <c r="AC85" i="9"/>
  <c r="AD85" i="9"/>
  <c r="AE85" i="9"/>
  <c r="AF85" i="9"/>
  <c r="AG85" i="9"/>
  <c r="AH85" i="9"/>
  <c r="AI85" i="9"/>
  <c r="AJ85" i="9"/>
  <c r="AK85" i="9"/>
  <c r="AL85" i="9"/>
  <c r="U86" i="9"/>
  <c r="V86" i="9"/>
  <c r="W86" i="9"/>
  <c r="X86" i="9"/>
  <c r="Y86" i="9"/>
  <c r="Z86" i="9"/>
  <c r="AA86" i="9"/>
  <c r="AB86" i="9"/>
  <c r="AC86" i="9"/>
  <c r="AD86" i="9"/>
  <c r="AE86" i="9"/>
  <c r="AF86" i="9"/>
  <c r="AG86" i="9"/>
  <c r="AH86" i="9"/>
  <c r="AI86" i="9"/>
  <c r="AJ86" i="9"/>
  <c r="AK86" i="9"/>
  <c r="AL86" i="9"/>
  <c r="U87" i="9"/>
  <c r="V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AI87" i="9"/>
  <c r="AJ87" i="9"/>
  <c r="AK87" i="9"/>
  <c r="AL87" i="9"/>
  <c r="U88" i="9"/>
  <c r="V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AI88" i="9"/>
  <c r="AJ88" i="9"/>
  <c r="AK88" i="9"/>
  <c r="AL88" i="9"/>
  <c r="U89" i="9"/>
  <c r="V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AI89" i="9"/>
  <c r="AJ89" i="9"/>
  <c r="AK89" i="9"/>
  <c r="AL89" i="9"/>
  <c r="U90" i="9"/>
  <c r="V90" i="9"/>
  <c r="W90" i="9"/>
  <c r="X90" i="9"/>
  <c r="Y90" i="9"/>
  <c r="Z90" i="9"/>
  <c r="AA90" i="9"/>
  <c r="AB90" i="9"/>
  <c r="AC90" i="9"/>
  <c r="AD90" i="9"/>
  <c r="AE90" i="9"/>
  <c r="AF90" i="9"/>
  <c r="AG90" i="9"/>
  <c r="AH90" i="9"/>
  <c r="AI90" i="9"/>
  <c r="AJ90" i="9"/>
  <c r="AK90" i="9"/>
  <c r="AL90" i="9"/>
  <c r="U91" i="9"/>
  <c r="V91" i="9"/>
  <c r="W91" i="9"/>
  <c r="X91" i="9"/>
  <c r="Y91" i="9"/>
  <c r="Z91" i="9"/>
  <c r="AA91" i="9"/>
  <c r="AB91" i="9"/>
  <c r="AC91" i="9"/>
  <c r="AD91" i="9"/>
  <c r="AE91" i="9"/>
  <c r="AF91" i="9"/>
  <c r="AG91" i="9"/>
  <c r="AH91" i="9"/>
  <c r="AI91" i="9"/>
  <c r="AJ91" i="9"/>
  <c r="AK91" i="9"/>
  <c r="AL91" i="9"/>
  <c r="U92" i="9"/>
  <c r="V92" i="9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U93" i="9"/>
  <c r="V93" i="9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AL93" i="9"/>
  <c r="U94" i="9"/>
  <c r="V94" i="9"/>
  <c r="W94" i="9"/>
  <c r="X94" i="9"/>
  <c r="Y94" i="9"/>
  <c r="Z94" i="9"/>
  <c r="AA94" i="9"/>
  <c r="AB94" i="9"/>
  <c r="AC94" i="9"/>
  <c r="AD94" i="9"/>
  <c r="AE94" i="9"/>
  <c r="AF94" i="9"/>
  <c r="AG94" i="9"/>
  <c r="AH94" i="9"/>
  <c r="AI94" i="9"/>
  <c r="AJ94" i="9"/>
  <c r="AK94" i="9"/>
  <c r="AL94" i="9"/>
  <c r="U95" i="9"/>
  <c r="V95" i="9"/>
  <c r="W95" i="9"/>
  <c r="X95" i="9"/>
  <c r="Y95" i="9"/>
  <c r="Z95" i="9"/>
  <c r="AA95" i="9"/>
  <c r="AB95" i="9"/>
  <c r="AC95" i="9"/>
  <c r="AD95" i="9"/>
  <c r="AE95" i="9"/>
  <c r="AF95" i="9"/>
  <c r="AG95" i="9"/>
  <c r="AH95" i="9"/>
  <c r="AI95" i="9"/>
  <c r="AJ95" i="9"/>
  <c r="AK95" i="9"/>
  <c r="AL95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AI96" i="9"/>
  <c r="AJ96" i="9"/>
  <c r="AK96" i="9"/>
  <c r="AL96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97" i="9"/>
  <c r="AI97" i="9"/>
  <c r="AJ97" i="9"/>
  <c r="AK97" i="9"/>
  <c r="AL97" i="9"/>
  <c r="U98" i="9"/>
  <c r="V98" i="9"/>
  <c r="W98" i="9"/>
  <c r="X98" i="9"/>
  <c r="Y98" i="9"/>
  <c r="Z98" i="9"/>
  <c r="AA98" i="9"/>
  <c r="AB98" i="9"/>
  <c r="AC98" i="9"/>
  <c r="AD98" i="9"/>
  <c r="AE98" i="9"/>
  <c r="AF98" i="9"/>
  <c r="AG98" i="9"/>
  <c r="AH98" i="9"/>
  <c r="AI98" i="9"/>
  <c r="AJ98" i="9"/>
  <c r="AK98" i="9"/>
  <c r="AL98" i="9"/>
  <c r="U99" i="9"/>
  <c r="V99" i="9"/>
  <c r="W99" i="9"/>
  <c r="X99" i="9"/>
  <c r="Y99" i="9"/>
  <c r="Z99" i="9"/>
  <c r="AA99" i="9"/>
  <c r="AB99" i="9"/>
  <c r="AC99" i="9"/>
  <c r="AD99" i="9"/>
  <c r="AE99" i="9"/>
  <c r="AF99" i="9"/>
  <c r="AG99" i="9"/>
  <c r="AH99" i="9"/>
  <c r="AI99" i="9"/>
  <c r="AJ99" i="9"/>
  <c r="AK99" i="9"/>
  <c r="AL99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AI100" i="9"/>
  <c r="AJ100" i="9"/>
  <c r="AK100" i="9"/>
  <c r="AL100" i="9"/>
  <c r="U101" i="9"/>
  <c r="V101" i="9"/>
  <c r="W101" i="9"/>
  <c r="X101" i="9"/>
  <c r="Y101" i="9"/>
  <c r="Z101" i="9"/>
  <c r="AA101" i="9"/>
  <c r="AB101" i="9"/>
  <c r="AC101" i="9"/>
  <c r="AD101" i="9"/>
  <c r="AE101" i="9"/>
  <c r="AF101" i="9"/>
  <c r="AG101" i="9"/>
  <c r="AH101" i="9"/>
  <c r="AI101" i="9"/>
  <c r="AJ101" i="9"/>
  <c r="AK101" i="9"/>
  <c r="AL101" i="9"/>
  <c r="U102" i="9"/>
  <c r="V102" i="9"/>
  <c r="W102" i="9"/>
  <c r="X102" i="9"/>
  <c r="Y102" i="9"/>
  <c r="Z102" i="9"/>
  <c r="AA102" i="9"/>
  <c r="AB102" i="9"/>
  <c r="AC102" i="9"/>
  <c r="AD102" i="9"/>
  <c r="AE102" i="9"/>
  <c r="AF102" i="9"/>
  <c r="AG102" i="9"/>
  <c r="AH102" i="9"/>
  <c r="AI102" i="9"/>
  <c r="AJ102" i="9"/>
  <c r="AK102" i="9"/>
  <c r="AL102" i="9"/>
  <c r="U103" i="9"/>
  <c r="V103" i="9"/>
  <c r="W103" i="9"/>
  <c r="X103" i="9"/>
  <c r="Y103" i="9"/>
  <c r="Z103" i="9"/>
  <c r="AA103" i="9"/>
  <c r="AB103" i="9"/>
  <c r="AC103" i="9"/>
  <c r="AD103" i="9"/>
  <c r="AE103" i="9"/>
  <c r="AF103" i="9"/>
  <c r="AG103" i="9"/>
  <c r="AH103" i="9"/>
  <c r="AI103" i="9"/>
  <c r="AJ103" i="9"/>
  <c r="AK103" i="9"/>
  <c r="AL103" i="9"/>
  <c r="U104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AI104" i="9"/>
  <c r="AJ104" i="9"/>
  <c r="AK104" i="9"/>
  <c r="AL104" i="9"/>
  <c r="U105" i="9"/>
  <c r="V105" i="9"/>
  <c r="W105" i="9"/>
  <c r="X105" i="9"/>
  <c r="Y105" i="9"/>
  <c r="Z105" i="9"/>
  <c r="AA105" i="9"/>
  <c r="AB105" i="9"/>
  <c r="AC105" i="9"/>
  <c r="AD105" i="9"/>
  <c r="AE105" i="9"/>
  <c r="AF105" i="9"/>
  <c r="AG105" i="9"/>
  <c r="AH105" i="9"/>
  <c r="AI105" i="9"/>
  <c r="AJ105" i="9"/>
  <c r="AK105" i="9"/>
  <c r="AL105" i="9"/>
  <c r="U106" i="9"/>
  <c r="V106" i="9"/>
  <c r="W106" i="9"/>
  <c r="X106" i="9"/>
  <c r="Y106" i="9"/>
  <c r="Z106" i="9"/>
  <c r="AA106" i="9"/>
  <c r="AB106" i="9"/>
  <c r="AC106" i="9"/>
  <c r="AD106" i="9"/>
  <c r="AE106" i="9"/>
  <c r="AF106" i="9"/>
  <c r="AG106" i="9"/>
  <c r="AH106" i="9"/>
  <c r="AI106" i="9"/>
  <c r="AJ106" i="9"/>
  <c r="AK106" i="9"/>
  <c r="AL106" i="9"/>
  <c r="U107" i="9"/>
  <c r="V107" i="9"/>
  <c r="W107" i="9"/>
  <c r="X107" i="9"/>
  <c r="Y107" i="9"/>
  <c r="Z107" i="9"/>
  <c r="AA107" i="9"/>
  <c r="AB107" i="9"/>
  <c r="AC107" i="9"/>
  <c r="AD107" i="9"/>
  <c r="AE107" i="9"/>
  <c r="AF107" i="9"/>
  <c r="AG107" i="9"/>
  <c r="AH107" i="9"/>
  <c r="AI107" i="9"/>
  <c r="AJ107" i="9"/>
  <c r="AK107" i="9"/>
  <c r="AL107" i="9"/>
  <c r="U108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08" i="9"/>
  <c r="AI108" i="9"/>
  <c r="AJ108" i="9"/>
  <c r="AK108" i="9"/>
  <c r="AL108" i="9"/>
  <c r="U109" i="9"/>
  <c r="V109" i="9"/>
  <c r="W109" i="9"/>
  <c r="X109" i="9"/>
  <c r="Y109" i="9"/>
  <c r="Z109" i="9"/>
  <c r="AA109" i="9"/>
  <c r="AB109" i="9"/>
  <c r="AC109" i="9"/>
  <c r="AD109" i="9"/>
  <c r="AE109" i="9"/>
  <c r="AF109" i="9"/>
  <c r="AG109" i="9"/>
  <c r="AH109" i="9"/>
  <c r="AI109" i="9"/>
  <c r="AJ109" i="9"/>
  <c r="AK109" i="9"/>
  <c r="AL109" i="9"/>
  <c r="V110" i="9"/>
  <c r="W110" i="9"/>
  <c r="X110" i="9"/>
  <c r="Y110" i="9"/>
  <c r="Z110" i="9"/>
  <c r="AA110" i="9"/>
  <c r="AB110" i="9"/>
  <c r="AC110" i="9"/>
  <c r="AD110" i="9"/>
  <c r="AE110" i="9"/>
  <c r="AF110" i="9"/>
  <c r="AG110" i="9"/>
  <c r="AH110" i="9"/>
  <c r="AI110" i="9"/>
  <c r="AJ110" i="9"/>
  <c r="AK110" i="9"/>
  <c r="AL110" i="9"/>
  <c r="U118" i="9"/>
  <c r="V118" i="9"/>
  <c r="W118" i="9"/>
  <c r="X118" i="9"/>
  <c r="Y118" i="9"/>
  <c r="Z118" i="9"/>
  <c r="AA118" i="9"/>
  <c r="AB118" i="9"/>
  <c r="AC118" i="9"/>
  <c r="AD118" i="9"/>
  <c r="AE118" i="9"/>
  <c r="AF118" i="9"/>
  <c r="AG118" i="9"/>
  <c r="AH118" i="9"/>
  <c r="AI118" i="9"/>
  <c r="AJ118" i="9"/>
  <c r="AK118" i="9"/>
  <c r="AL118" i="9"/>
  <c r="U119" i="9"/>
  <c r="V119" i="9"/>
  <c r="W119" i="9"/>
  <c r="X119" i="9"/>
  <c r="Y119" i="9"/>
  <c r="Z119" i="9"/>
  <c r="AA119" i="9"/>
  <c r="AB119" i="9"/>
  <c r="AC119" i="9"/>
  <c r="AD119" i="9"/>
  <c r="AE119" i="9"/>
  <c r="AF119" i="9"/>
  <c r="AG119" i="9"/>
  <c r="AH119" i="9"/>
  <c r="AI119" i="9"/>
  <c r="AJ119" i="9"/>
  <c r="AK119" i="9"/>
  <c r="AL119" i="9"/>
  <c r="U120" i="9"/>
  <c r="V120" i="9"/>
  <c r="W120" i="9"/>
  <c r="X120" i="9"/>
  <c r="Y120" i="9"/>
  <c r="Z120" i="9"/>
  <c r="AA120" i="9"/>
  <c r="AB120" i="9"/>
  <c r="AC120" i="9"/>
  <c r="AD120" i="9"/>
  <c r="AE120" i="9"/>
  <c r="AF120" i="9"/>
  <c r="AG120" i="9"/>
  <c r="AH120" i="9"/>
  <c r="AI120" i="9"/>
  <c r="AJ120" i="9"/>
  <c r="AK120" i="9"/>
  <c r="AL120" i="9"/>
  <c r="U121" i="9"/>
  <c r="V121" i="9"/>
  <c r="W121" i="9"/>
  <c r="X121" i="9"/>
  <c r="Y121" i="9"/>
  <c r="Z121" i="9"/>
  <c r="AA121" i="9"/>
  <c r="AB121" i="9"/>
  <c r="AC121" i="9"/>
  <c r="AD121" i="9"/>
  <c r="AE121" i="9"/>
  <c r="AF121" i="9"/>
  <c r="AG121" i="9"/>
  <c r="AH121" i="9"/>
  <c r="AI121" i="9"/>
  <c r="AJ121" i="9"/>
  <c r="AK121" i="9"/>
  <c r="AL121" i="9"/>
  <c r="U122" i="9"/>
  <c r="V122" i="9"/>
  <c r="W122" i="9"/>
  <c r="X122" i="9"/>
  <c r="Y122" i="9"/>
  <c r="Z122" i="9"/>
  <c r="AA122" i="9"/>
  <c r="AB122" i="9"/>
  <c r="AC122" i="9"/>
  <c r="AD122" i="9"/>
  <c r="AE122" i="9"/>
  <c r="AF122" i="9"/>
  <c r="AG122" i="9"/>
  <c r="N16" i="5" s="1"/>
  <c r="N17" i="5" s="1"/>
  <c r="AH122" i="9"/>
  <c r="AI122" i="9"/>
  <c r="AJ122" i="9"/>
  <c r="AK122" i="9"/>
  <c r="AL122" i="9"/>
  <c r="AF22" i="9"/>
  <c r="AE22" i="9"/>
  <c r="AC22" i="9"/>
  <c r="Y22" i="9"/>
  <c r="X22" i="9"/>
  <c r="W22" i="9"/>
  <c r="I9" i="10"/>
  <c r="C9" i="10"/>
  <c r="B9" i="10"/>
  <c r="L3" i="3"/>
  <c r="F15" i="10"/>
  <c r="G13" i="10"/>
  <c r="G12" i="10"/>
  <c r="G11" i="10"/>
  <c r="B13" i="10"/>
  <c r="B12" i="10"/>
  <c r="B11" i="10"/>
  <c r="G8" i="10"/>
  <c r="G7" i="10"/>
  <c r="G6" i="10"/>
  <c r="G5" i="10"/>
  <c r="B8" i="10"/>
  <c r="B7" i="10"/>
  <c r="B6" i="10"/>
  <c r="A1" i="9"/>
  <c r="F16" i="3"/>
  <c r="F10" i="3"/>
  <c r="D10" i="3"/>
  <c r="B4" i="9"/>
  <c r="B3" i="9"/>
  <c r="F381" i="9"/>
  <c r="F373" i="9"/>
  <c r="D373" i="9"/>
  <c r="E372" i="9"/>
  <c r="C372" i="9"/>
  <c r="B372" i="9"/>
  <c r="G360" i="9"/>
  <c r="R360" i="9" s="1"/>
  <c r="G359" i="9"/>
  <c r="R359" i="9" s="1"/>
  <c r="G358" i="9"/>
  <c r="R358" i="9" s="1"/>
  <c r="G357" i="9"/>
  <c r="R357" i="9" s="1"/>
  <c r="G356" i="9"/>
  <c r="R356" i="9" s="1"/>
  <c r="G355" i="9"/>
  <c r="R355" i="9" s="1"/>
  <c r="G354" i="9"/>
  <c r="R354" i="9" s="1"/>
  <c r="G353" i="9"/>
  <c r="R353" i="9" s="1"/>
  <c r="G352" i="9"/>
  <c r="R352" i="9" s="1"/>
  <c r="G351" i="9"/>
  <c r="R351" i="9" s="1"/>
  <c r="G350" i="9"/>
  <c r="R350" i="9" s="1"/>
  <c r="G349" i="9"/>
  <c r="R349" i="9" s="1"/>
  <c r="G348" i="9"/>
  <c r="R348" i="9" s="1"/>
  <c r="G347" i="9"/>
  <c r="R347" i="9" s="1"/>
  <c r="G346" i="9"/>
  <c r="R346" i="9" s="1"/>
  <c r="G345" i="9"/>
  <c r="R345" i="9" s="1"/>
  <c r="G344" i="9"/>
  <c r="R344" i="9" s="1"/>
  <c r="G343" i="9"/>
  <c r="R343" i="9" s="1"/>
  <c r="G342" i="9"/>
  <c r="R342" i="9" s="1"/>
  <c r="G341" i="9"/>
  <c r="R341" i="9" s="1"/>
  <c r="G340" i="9"/>
  <c r="R340" i="9" s="1"/>
  <c r="G339" i="9"/>
  <c r="R339" i="9" s="1"/>
  <c r="G338" i="9"/>
  <c r="R338" i="9" s="1"/>
  <c r="G337" i="9"/>
  <c r="R337" i="9" s="1"/>
  <c r="G336" i="9"/>
  <c r="R336" i="9" s="1"/>
  <c r="G335" i="9"/>
  <c r="R335" i="9" s="1"/>
  <c r="G334" i="9"/>
  <c r="R334" i="9" s="1"/>
  <c r="G333" i="9"/>
  <c r="R333" i="9" s="1"/>
  <c r="G332" i="9"/>
  <c r="R332" i="9" s="1"/>
  <c r="Y331" i="9"/>
  <c r="G327" i="9"/>
  <c r="R327" i="9" s="1"/>
  <c r="G326" i="9"/>
  <c r="R326" i="9" s="1"/>
  <c r="G325" i="9"/>
  <c r="R325" i="9" s="1"/>
  <c r="G324" i="9"/>
  <c r="R324" i="9" s="1"/>
  <c r="G323" i="9"/>
  <c r="R323" i="9" s="1"/>
  <c r="G322" i="9"/>
  <c r="R322" i="9" s="1"/>
  <c r="G321" i="9"/>
  <c r="R321" i="9" s="1"/>
  <c r="G320" i="9"/>
  <c r="R320" i="9" s="1"/>
  <c r="G319" i="9"/>
  <c r="R319" i="9" s="1"/>
  <c r="G318" i="9"/>
  <c r="R318" i="9" s="1"/>
  <c r="G317" i="9"/>
  <c r="R317" i="9" s="1"/>
  <c r="G316" i="9"/>
  <c r="R316" i="9" s="1"/>
  <c r="G315" i="9"/>
  <c r="R315" i="9" s="1"/>
  <c r="G314" i="9"/>
  <c r="R314" i="9" s="1"/>
  <c r="G313" i="9"/>
  <c r="R313" i="9" s="1"/>
  <c r="G312" i="9"/>
  <c r="R312" i="9" s="1"/>
  <c r="G311" i="9"/>
  <c r="R311" i="9" s="1"/>
  <c r="G310" i="9"/>
  <c r="R310" i="9" s="1"/>
  <c r="G309" i="9"/>
  <c r="R309" i="9" s="1"/>
  <c r="G308" i="9"/>
  <c r="R308" i="9" s="1"/>
  <c r="G307" i="9"/>
  <c r="R307" i="9" s="1"/>
  <c r="G306" i="9"/>
  <c r="R306" i="9" s="1"/>
  <c r="G305" i="9"/>
  <c r="R305" i="9" s="1"/>
  <c r="G304" i="9"/>
  <c r="R304" i="9" s="1"/>
  <c r="G303" i="9"/>
  <c r="R303" i="9" s="1"/>
  <c r="G302" i="9"/>
  <c r="R302" i="9" s="1"/>
  <c r="G301" i="9"/>
  <c r="R301" i="9" s="1"/>
  <c r="G300" i="9"/>
  <c r="R300" i="9" s="1"/>
  <c r="G299" i="9"/>
  <c r="R299" i="9" s="1"/>
  <c r="C295" i="9"/>
  <c r="K295" i="9" s="1"/>
  <c r="G294" i="9"/>
  <c r="R294" i="9" s="1"/>
  <c r="G293" i="9"/>
  <c r="R293" i="9" s="1"/>
  <c r="G292" i="9"/>
  <c r="R292" i="9" s="1"/>
  <c r="G291" i="9"/>
  <c r="R291" i="9" s="1"/>
  <c r="G290" i="9"/>
  <c r="R290" i="9" s="1"/>
  <c r="G289" i="9"/>
  <c r="R289" i="9" s="1"/>
  <c r="G288" i="9"/>
  <c r="R288" i="9" s="1"/>
  <c r="G287" i="9"/>
  <c r="R287" i="9" s="1"/>
  <c r="G286" i="9"/>
  <c r="R286" i="9" s="1"/>
  <c r="G285" i="9"/>
  <c r="R285" i="9" s="1"/>
  <c r="G284" i="9"/>
  <c r="R284" i="9" s="1"/>
  <c r="G283" i="9"/>
  <c r="R283" i="9" s="1"/>
  <c r="G282" i="9"/>
  <c r="R282" i="9" s="1"/>
  <c r="G281" i="9"/>
  <c r="R281" i="9" s="1"/>
  <c r="G280" i="9"/>
  <c r="R280" i="9" s="1"/>
  <c r="G279" i="9"/>
  <c r="R279" i="9" s="1"/>
  <c r="G278" i="9"/>
  <c r="R278" i="9" s="1"/>
  <c r="G277" i="9"/>
  <c r="R277" i="9" s="1"/>
  <c r="G276" i="9"/>
  <c r="R276" i="9" s="1"/>
  <c r="G275" i="9"/>
  <c r="R275" i="9" s="1"/>
  <c r="G274" i="9"/>
  <c r="R274" i="9" s="1"/>
  <c r="G273" i="9"/>
  <c r="R273" i="9" s="1"/>
  <c r="G272" i="9"/>
  <c r="R272" i="9" s="1"/>
  <c r="G271" i="9"/>
  <c r="R271" i="9" s="1"/>
  <c r="G270" i="9"/>
  <c r="R270" i="9" s="1"/>
  <c r="Y270" i="9"/>
  <c r="C265" i="9"/>
  <c r="I265" i="9" s="1"/>
  <c r="G264" i="9"/>
  <c r="R264" i="9" s="1"/>
  <c r="G263" i="9"/>
  <c r="R263" i="9" s="1"/>
  <c r="G262" i="9"/>
  <c r="R262" i="9" s="1"/>
  <c r="G261" i="9"/>
  <c r="R261" i="9" s="1"/>
  <c r="G260" i="9"/>
  <c r="R260" i="9" s="1"/>
  <c r="G259" i="9"/>
  <c r="R259" i="9" s="1"/>
  <c r="G258" i="9"/>
  <c r="R258" i="9" s="1"/>
  <c r="G257" i="9"/>
  <c r="R257" i="9" s="1"/>
  <c r="G256" i="9"/>
  <c r="R256" i="9" s="1"/>
  <c r="G255" i="9"/>
  <c r="R255" i="9" s="1"/>
  <c r="G254" i="9"/>
  <c r="R254" i="9" s="1"/>
  <c r="G253" i="9"/>
  <c r="R253" i="9" s="1"/>
  <c r="G252" i="9"/>
  <c r="R252" i="9" s="1"/>
  <c r="G251" i="9"/>
  <c r="G250" i="9"/>
  <c r="Y250" i="9" s="1"/>
  <c r="G243" i="9"/>
  <c r="R243" i="9" s="1"/>
  <c r="G242" i="9"/>
  <c r="R242" i="9" s="1"/>
  <c r="G241" i="9"/>
  <c r="R241" i="9" s="1"/>
  <c r="G240" i="9"/>
  <c r="R240" i="9" s="1"/>
  <c r="G239" i="9"/>
  <c r="R239" i="9" s="1"/>
  <c r="G224" i="9"/>
  <c r="R224" i="9" s="1"/>
  <c r="G222" i="9"/>
  <c r="R222" i="9" s="1"/>
  <c r="G221" i="9"/>
  <c r="R221" i="9" s="1"/>
  <c r="G220" i="9"/>
  <c r="R220" i="9" s="1"/>
  <c r="G219" i="9"/>
  <c r="R219" i="9" s="1"/>
  <c r="G218" i="9"/>
  <c r="R218" i="9" s="1"/>
  <c r="G217" i="9"/>
  <c r="R217" i="9" s="1"/>
  <c r="G216" i="9"/>
  <c r="R216" i="9" s="1"/>
  <c r="G215" i="9"/>
  <c r="R215" i="9" s="1"/>
  <c r="G214" i="9"/>
  <c r="R214" i="9" s="1"/>
  <c r="G213" i="9"/>
  <c r="R213" i="9" s="1"/>
  <c r="G212" i="9"/>
  <c r="R212" i="9" s="1"/>
  <c r="G211" i="9"/>
  <c r="R211" i="9" s="1"/>
  <c r="G210" i="9"/>
  <c r="R210" i="9" s="1"/>
  <c r="G209" i="9"/>
  <c r="R209" i="9" s="1"/>
  <c r="G208" i="9"/>
  <c r="R208" i="9" s="1"/>
  <c r="G207" i="9"/>
  <c r="R207" i="9" s="1"/>
  <c r="G206" i="9"/>
  <c r="R206" i="9" s="1"/>
  <c r="G205" i="9"/>
  <c r="R205" i="9" s="1"/>
  <c r="G204" i="9"/>
  <c r="R204" i="9" s="1"/>
  <c r="G203" i="9"/>
  <c r="R203" i="9" s="1"/>
  <c r="G202" i="9"/>
  <c r="R202" i="9" s="1"/>
  <c r="G201" i="9"/>
  <c r="R201" i="9" s="1"/>
  <c r="G200" i="9"/>
  <c r="R200" i="9" s="1"/>
  <c r="G199" i="9"/>
  <c r="R199" i="9" s="1"/>
  <c r="G198" i="9"/>
  <c r="R198" i="9" s="1"/>
  <c r="G197" i="9"/>
  <c r="R197" i="9" s="1"/>
  <c r="G196" i="9"/>
  <c r="R196" i="9" s="1"/>
  <c r="G195" i="9"/>
  <c r="R195" i="9" s="1"/>
  <c r="G194" i="9"/>
  <c r="R194" i="9" s="1"/>
  <c r="G193" i="9"/>
  <c r="R193" i="9" s="1"/>
  <c r="G192" i="9"/>
  <c r="R192" i="9" s="1"/>
  <c r="G191" i="9"/>
  <c r="R191" i="9" s="1"/>
  <c r="G190" i="9"/>
  <c r="R190" i="9" s="1"/>
  <c r="G189" i="9"/>
  <c r="R189" i="9" s="1"/>
  <c r="G188" i="9"/>
  <c r="R188" i="9" s="1"/>
  <c r="G187" i="9"/>
  <c r="R187" i="9" s="1"/>
  <c r="G186" i="9"/>
  <c r="R186" i="9" s="1"/>
  <c r="G185" i="9"/>
  <c r="R185" i="9" s="1"/>
  <c r="G184" i="9"/>
  <c r="R184" i="9" s="1"/>
  <c r="G183" i="9"/>
  <c r="R183" i="9" s="1"/>
  <c r="G182" i="9"/>
  <c r="R182" i="9" s="1"/>
  <c r="G181" i="9"/>
  <c r="R181" i="9" s="1"/>
  <c r="G180" i="9"/>
  <c r="R180" i="9" s="1"/>
  <c r="G179" i="9"/>
  <c r="R179" i="9" s="1"/>
  <c r="G178" i="9"/>
  <c r="R178" i="9" s="1"/>
  <c r="G177" i="9"/>
  <c r="R177" i="9" s="1"/>
  <c r="G176" i="9"/>
  <c r="R176" i="9" s="1"/>
  <c r="G175" i="9"/>
  <c r="R175" i="9" s="1"/>
  <c r="G174" i="9"/>
  <c r="R174" i="9" s="1"/>
  <c r="G173" i="9"/>
  <c r="R173" i="9" s="1"/>
  <c r="G172" i="9"/>
  <c r="R172" i="9" s="1"/>
  <c r="G171" i="9"/>
  <c r="R171" i="9" s="1"/>
  <c r="G170" i="9"/>
  <c r="R170" i="9" s="1"/>
  <c r="G169" i="9"/>
  <c r="R169" i="9" s="1"/>
  <c r="G168" i="9"/>
  <c r="R168" i="9" s="1"/>
  <c r="G167" i="9"/>
  <c r="R167" i="9" s="1"/>
  <c r="G166" i="9"/>
  <c r="R166" i="9" s="1"/>
  <c r="G165" i="9"/>
  <c r="R165" i="9" s="1"/>
  <c r="G164" i="9"/>
  <c r="R164" i="9" s="1"/>
  <c r="G163" i="9"/>
  <c r="R163" i="9" s="1"/>
  <c r="G162" i="9"/>
  <c r="R162" i="9" s="1"/>
  <c r="G161" i="9"/>
  <c r="R161" i="9" s="1"/>
  <c r="G160" i="9"/>
  <c r="R160" i="9" s="1"/>
  <c r="G159" i="9"/>
  <c r="R159" i="9" s="1"/>
  <c r="G158" i="9"/>
  <c r="R158" i="9" s="1"/>
  <c r="G157" i="9"/>
  <c r="R157" i="9" s="1"/>
  <c r="G156" i="9"/>
  <c r="R156" i="9" s="1"/>
  <c r="G155" i="9"/>
  <c r="R155" i="9" s="1"/>
  <c r="G154" i="9"/>
  <c r="R154" i="9" s="1"/>
  <c r="G153" i="9"/>
  <c r="R153" i="9" s="1"/>
  <c r="G152" i="9"/>
  <c r="R152" i="9" s="1"/>
  <c r="G151" i="9"/>
  <c r="R151" i="9" s="1"/>
  <c r="G150" i="9"/>
  <c r="R150" i="9" s="1"/>
  <c r="G149" i="9"/>
  <c r="R149" i="9" s="1"/>
  <c r="G148" i="9"/>
  <c r="R148" i="9" s="1"/>
  <c r="G147" i="9"/>
  <c r="R147" i="9" s="1"/>
  <c r="G146" i="9"/>
  <c r="R146" i="9" s="1"/>
  <c r="G145" i="9"/>
  <c r="R145" i="9" s="1"/>
  <c r="G144" i="9"/>
  <c r="R144" i="9" s="1"/>
  <c r="G143" i="9"/>
  <c r="R143" i="9" s="1"/>
  <c r="G142" i="9"/>
  <c r="R142" i="9" s="1"/>
  <c r="G141" i="9"/>
  <c r="R141" i="9" s="1"/>
  <c r="G140" i="9"/>
  <c r="R140" i="9" s="1"/>
  <c r="G139" i="9"/>
  <c r="R139" i="9" s="1"/>
  <c r="G138" i="9"/>
  <c r="R138" i="9" s="1"/>
  <c r="G137" i="9"/>
  <c r="R137" i="9" s="1"/>
  <c r="G136" i="9"/>
  <c r="R136" i="9" s="1"/>
  <c r="G135" i="9"/>
  <c r="R135" i="9" s="1"/>
  <c r="G134" i="9"/>
  <c r="R134" i="9" s="1"/>
  <c r="G133" i="9"/>
  <c r="R133" i="9" s="1"/>
  <c r="G132" i="9"/>
  <c r="AC132" i="9"/>
  <c r="G131" i="9"/>
  <c r="S127" i="9"/>
  <c r="S126" i="9"/>
  <c r="S125" i="9"/>
  <c r="S124" i="9"/>
  <c r="S123" i="9"/>
  <c r="G122" i="9"/>
  <c r="R122" i="9" s="1"/>
  <c r="G121" i="9"/>
  <c r="R121" i="9" s="1"/>
  <c r="G120" i="9"/>
  <c r="R120" i="9" s="1"/>
  <c r="G119" i="9"/>
  <c r="R119" i="9" s="1"/>
  <c r="G118" i="9"/>
  <c r="R118" i="9" s="1"/>
  <c r="G109" i="9"/>
  <c r="R109" i="9" s="1"/>
  <c r="G108" i="9"/>
  <c r="R108" i="9" s="1"/>
  <c r="G107" i="9"/>
  <c r="R107" i="9" s="1"/>
  <c r="G106" i="9"/>
  <c r="R106" i="9" s="1"/>
  <c r="G105" i="9"/>
  <c r="R105" i="9" s="1"/>
  <c r="G104" i="9"/>
  <c r="R104" i="9" s="1"/>
  <c r="G103" i="9"/>
  <c r="R103" i="9" s="1"/>
  <c r="G102" i="9"/>
  <c r="R102" i="9" s="1"/>
  <c r="G101" i="9"/>
  <c r="R101" i="9" s="1"/>
  <c r="G100" i="9"/>
  <c r="R100" i="9" s="1"/>
  <c r="G99" i="9"/>
  <c r="R99" i="9" s="1"/>
  <c r="G98" i="9"/>
  <c r="R98" i="9" s="1"/>
  <c r="G97" i="9"/>
  <c r="R97" i="9" s="1"/>
  <c r="G96" i="9"/>
  <c r="R96" i="9" s="1"/>
  <c r="G95" i="9"/>
  <c r="R95" i="9" s="1"/>
  <c r="G94" i="9"/>
  <c r="R94" i="9" s="1"/>
  <c r="G93" i="9"/>
  <c r="R93" i="9" s="1"/>
  <c r="G92" i="9"/>
  <c r="R92" i="9" s="1"/>
  <c r="G91" i="9"/>
  <c r="R91" i="9" s="1"/>
  <c r="G90" i="9"/>
  <c r="R90" i="9" s="1"/>
  <c r="G89" i="9"/>
  <c r="R89" i="9" s="1"/>
  <c r="G88" i="9"/>
  <c r="R88" i="9" s="1"/>
  <c r="G87" i="9"/>
  <c r="R87" i="9" s="1"/>
  <c r="G86" i="9"/>
  <c r="R86" i="9" s="1"/>
  <c r="G85" i="9"/>
  <c r="R85" i="9" s="1"/>
  <c r="G84" i="9"/>
  <c r="R84" i="9" s="1"/>
  <c r="G83" i="9"/>
  <c r="R83" i="9" s="1"/>
  <c r="G82" i="9"/>
  <c r="R82" i="9" s="1"/>
  <c r="G81" i="9"/>
  <c r="R81" i="9" s="1"/>
  <c r="G80" i="9"/>
  <c r="R80" i="9" s="1"/>
  <c r="G79" i="9"/>
  <c r="R79" i="9" s="1"/>
  <c r="G78" i="9"/>
  <c r="R78" i="9" s="1"/>
  <c r="G77" i="9"/>
  <c r="R77" i="9" s="1"/>
  <c r="G76" i="9"/>
  <c r="R76" i="9" s="1"/>
  <c r="G75" i="9"/>
  <c r="R75" i="9" s="1"/>
  <c r="G74" i="9"/>
  <c r="R74" i="9" s="1"/>
  <c r="G73" i="9"/>
  <c r="R73" i="9" s="1"/>
  <c r="G72" i="9"/>
  <c r="R72" i="9" s="1"/>
  <c r="G71" i="9"/>
  <c r="R71" i="9" s="1"/>
  <c r="G70" i="9"/>
  <c r="R70" i="9" s="1"/>
  <c r="G69" i="9"/>
  <c r="R69" i="9" s="1"/>
  <c r="G68" i="9"/>
  <c r="R68" i="9" s="1"/>
  <c r="G67" i="9"/>
  <c r="R67" i="9" s="1"/>
  <c r="G66" i="9"/>
  <c r="R66" i="9" s="1"/>
  <c r="G65" i="9"/>
  <c r="R65" i="9" s="1"/>
  <c r="G64" i="9"/>
  <c r="R64" i="9" s="1"/>
  <c r="G63" i="9"/>
  <c r="R63" i="9" s="1"/>
  <c r="G62" i="9"/>
  <c r="R62" i="9" s="1"/>
  <c r="G61" i="9"/>
  <c r="R61" i="9" s="1"/>
  <c r="G60" i="9"/>
  <c r="R60" i="9" s="1"/>
  <c r="G59" i="9"/>
  <c r="R59" i="9" s="1"/>
  <c r="G58" i="9"/>
  <c r="R58" i="9" s="1"/>
  <c r="G57" i="9"/>
  <c r="R57" i="9" s="1"/>
  <c r="G56" i="9"/>
  <c r="R56" i="9" s="1"/>
  <c r="G55" i="9"/>
  <c r="R55" i="9" s="1"/>
  <c r="G54" i="9"/>
  <c r="R54" i="9" s="1"/>
  <c r="G53" i="9"/>
  <c r="R53" i="9" s="1"/>
  <c r="G52" i="9"/>
  <c r="R52" i="9" s="1"/>
  <c r="G51" i="9"/>
  <c r="R51" i="9" s="1"/>
  <c r="G50" i="9"/>
  <c r="R50" i="9" s="1"/>
  <c r="G49" i="9"/>
  <c r="R49" i="9" s="1"/>
  <c r="G48" i="9"/>
  <c r="R48" i="9" s="1"/>
  <c r="G47" i="9"/>
  <c r="R47" i="9" s="1"/>
  <c r="G46" i="9"/>
  <c r="R46" i="9" s="1"/>
  <c r="G45" i="9"/>
  <c r="R45" i="9" s="1"/>
  <c r="G44" i="9"/>
  <c r="R44" i="9" s="1"/>
  <c r="G43" i="9"/>
  <c r="R43" i="9" s="1"/>
  <c r="G42" i="9"/>
  <c r="R42" i="9" s="1"/>
  <c r="G41" i="9"/>
  <c r="R41" i="9" s="1"/>
  <c r="G40" i="9"/>
  <c r="R40" i="9" s="1"/>
  <c r="G39" i="9"/>
  <c r="R39" i="9" s="1"/>
  <c r="G38" i="9"/>
  <c r="R38" i="9" s="1"/>
  <c r="G37" i="9"/>
  <c r="R37" i="9" s="1"/>
  <c r="G36" i="9"/>
  <c r="R36" i="9" s="1"/>
  <c r="G35" i="9"/>
  <c r="R35" i="9" s="1"/>
  <c r="G34" i="9"/>
  <c r="R34" i="9" s="1"/>
  <c r="G33" i="9"/>
  <c r="R33" i="9" s="1"/>
  <c r="G32" i="9"/>
  <c r="R32" i="9" s="1"/>
  <c r="G31" i="9"/>
  <c r="R31" i="9" s="1"/>
  <c r="G30" i="9"/>
  <c r="R30" i="9" s="1"/>
  <c r="G29" i="9"/>
  <c r="R29" i="9" s="1"/>
  <c r="G28" i="9"/>
  <c r="R28" i="9" s="1"/>
  <c r="G27" i="9"/>
  <c r="R27" i="9" s="1"/>
  <c r="G26" i="9"/>
  <c r="R26" i="9" s="1"/>
  <c r="G25" i="9"/>
  <c r="R25" i="9" s="1"/>
  <c r="G24" i="9"/>
  <c r="R24" i="9" s="1"/>
  <c r="G23" i="9"/>
  <c r="R23" i="9" s="1"/>
  <c r="AL22" i="9"/>
  <c r="AK22" i="9"/>
  <c r="AI22" i="9"/>
  <c r="AH22" i="9"/>
  <c r="AG22" i="9"/>
  <c r="AD22" i="9"/>
  <c r="AB22" i="9"/>
  <c r="AA22" i="9"/>
  <c r="Z22" i="9"/>
  <c r="V22" i="9"/>
  <c r="G22" i="9"/>
  <c r="R22" i="9" s="1"/>
  <c r="U24" i="9"/>
  <c r="K361" i="9"/>
  <c r="H361" i="9"/>
  <c r="AC250" i="9"/>
  <c r="AJ23" i="9"/>
  <c r="U23" i="9"/>
  <c r="AL132" i="9"/>
  <c r="Q328" i="9"/>
  <c r="Q361" i="9"/>
  <c r="L361" i="9"/>
  <c r="M361" i="9"/>
  <c r="AL250" i="9"/>
  <c r="N361" i="9"/>
  <c r="O361" i="9"/>
  <c r="O328" i="9"/>
  <c r="P361" i="9"/>
  <c r="AJ24" i="9"/>
  <c r="AK270" i="9"/>
  <c r="I361" i="9"/>
  <c r="M328" i="9"/>
  <c r="J361" i="9"/>
  <c r="AK331" i="9"/>
  <c r="Q4" i="3"/>
  <c r="Q3" i="3"/>
  <c r="C4" i="3"/>
  <c r="C3" i="3"/>
  <c r="I32" i="10"/>
  <c r="H15" i="10"/>
  <c r="D19" i="10"/>
  <c r="E19" i="10"/>
  <c r="F19" i="10"/>
  <c r="G19" i="10"/>
  <c r="L61" i="3"/>
  <c r="L42" i="10" s="1"/>
  <c r="D18" i="10"/>
  <c r="E18" i="10"/>
  <c r="F18" i="10"/>
  <c r="C18" i="10"/>
  <c r="I27" i="10"/>
  <c r="F27" i="10"/>
  <c r="C27" i="10"/>
  <c r="D23" i="10"/>
  <c r="E23" i="10"/>
  <c r="F23" i="10"/>
  <c r="G23" i="10"/>
  <c r="C23" i="10"/>
  <c r="C19" i="10"/>
  <c r="L16" i="3"/>
  <c r="M16" i="3" s="1"/>
  <c r="G18" i="10"/>
  <c r="J10" i="4"/>
  <c r="F47" i="3"/>
  <c r="J20" i="3"/>
  <c r="J21" i="3"/>
  <c r="J22" i="3"/>
  <c r="J23" i="3"/>
  <c r="J24" i="3"/>
  <c r="C70" i="5"/>
  <c r="B70" i="5"/>
  <c r="D70" i="5" s="1"/>
  <c r="C69" i="5"/>
  <c r="B69" i="5"/>
  <c r="C71" i="5"/>
  <c r="B71" i="5"/>
  <c r="C72" i="5"/>
  <c r="B72" i="5"/>
  <c r="C73" i="5"/>
  <c r="B73" i="5"/>
  <c r="D73" i="5" s="1"/>
  <c r="D62" i="5"/>
  <c r="L6" i="4"/>
  <c r="J6" i="4"/>
  <c r="D24" i="4"/>
  <c r="Q24" i="4" s="1"/>
  <c r="D40" i="4"/>
  <c r="Q40" i="4" s="1"/>
  <c r="D42" i="4"/>
  <c r="Q42" i="4" s="1"/>
  <c r="D43" i="4"/>
  <c r="Q43" i="4" s="1"/>
  <c r="L10" i="3"/>
  <c r="J10" i="3"/>
  <c r="C41" i="4"/>
  <c r="C42" i="4"/>
  <c r="C43" i="4"/>
  <c r="C44" i="4"/>
  <c r="C45" i="4"/>
  <c r="C40" i="4"/>
  <c r="B40" i="4"/>
  <c r="B41" i="4"/>
  <c r="B42" i="4"/>
  <c r="B43" i="4"/>
  <c r="B44" i="4"/>
  <c r="B45" i="4"/>
  <c r="B39" i="4"/>
  <c r="C49" i="5"/>
  <c r="D49" i="5"/>
  <c r="E49" i="5"/>
  <c r="F49" i="5"/>
  <c r="F56" i="5"/>
  <c r="E56" i="5"/>
  <c r="D56" i="5"/>
  <c r="C56" i="5"/>
  <c r="F53" i="5"/>
  <c r="E53" i="5"/>
  <c r="D53" i="5"/>
  <c r="F52" i="5"/>
  <c r="E52" i="5"/>
  <c r="D52" i="5"/>
  <c r="D27" i="4"/>
  <c r="S27" i="4" s="1"/>
  <c r="L12" i="3"/>
  <c r="M12" i="3" s="1"/>
  <c r="H10" i="4"/>
  <c r="L6" i="3"/>
  <c r="L10" i="4"/>
  <c r="P10" i="4"/>
  <c r="N10" i="4"/>
  <c r="A1" i="3"/>
  <c r="D20" i="3"/>
  <c r="D21" i="3"/>
  <c r="D22" i="3"/>
  <c r="D23" i="3"/>
  <c r="D24" i="3"/>
  <c r="F12" i="3"/>
  <c r="D27" i="3" s="1"/>
  <c r="K33" i="3"/>
  <c r="K32" i="3"/>
  <c r="K31" i="3"/>
  <c r="K30" i="3"/>
  <c r="K29" i="3"/>
  <c r="K27" i="3"/>
  <c r="E27" i="3"/>
  <c r="E29" i="3"/>
  <c r="E30" i="3"/>
  <c r="E31" i="3"/>
  <c r="E32" i="3"/>
  <c r="E33" i="3"/>
  <c r="A4" i="2"/>
  <c r="S53" i="4"/>
  <c r="Q53" i="4"/>
  <c r="O53" i="4"/>
  <c r="M53" i="4"/>
  <c r="K53" i="4"/>
  <c r="I53" i="4"/>
  <c r="G53" i="4"/>
  <c r="D6" i="4"/>
  <c r="F7" i="2"/>
  <c r="A1" i="4"/>
  <c r="D11" i="2"/>
  <c r="E7" i="2"/>
  <c r="A3" i="2"/>
  <c r="A4" i="4"/>
  <c r="A3" i="4"/>
  <c r="S331" i="9"/>
  <c r="L32" i="3"/>
  <c r="L29" i="3"/>
  <c r="D34" i="3"/>
  <c r="AL331" i="9"/>
  <c r="D137" i="5"/>
  <c r="D136" i="5"/>
  <c r="AP250" i="9" l="1"/>
  <c r="J373" i="9"/>
  <c r="AQ250" i="9"/>
  <c r="AQ265" i="9" s="1"/>
  <c r="AR250" i="9"/>
  <c r="AR265" i="9" s="1"/>
  <c r="L373" i="9"/>
  <c r="Y131" i="9"/>
  <c r="R131" i="9"/>
  <c r="AK132" i="9"/>
  <c r="R132" i="9"/>
  <c r="U250" i="9"/>
  <c r="R250" i="9"/>
  <c r="AK250" i="9" s="1"/>
  <c r="AL251" i="9"/>
  <c r="R251" i="9"/>
  <c r="AJ22" i="9"/>
  <c r="A3" i="6"/>
  <c r="A3" i="14"/>
  <c r="A4" i="6"/>
  <c r="A4" i="14"/>
  <c r="D72" i="5"/>
  <c r="F25" i="5"/>
  <c r="D82" i="5"/>
  <c r="D69" i="5"/>
  <c r="AQ367" i="9"/>
  <c r="AC251" i="9"/>
  <c r="AR367" i="9"/>
  <c r="Y132" i="9"/>
  <c r="AC131" i="9"/>
  <c r="AC367" i="9" s="1"/>
  <c r="Q24" i="14"/>
  <c r="R24" i="14" s="1"/>
  <c r="O24" i="14"/>
  <c r="P24" i="14" s="1"/>
  <c r="M24" i="14"/>
  <c r="N24" i="14" s="1"/>
  <c r="K24" i="14"/>
  <c r="L24" i="14" s="1"/>
  <c r="I24" i="14"/>
  <c r="J24" i="14" s="1"/>
  <c r="G24" i="14"/>
  <c r="Q36" i="14"/>
  <c r="R36" i="14" s="1"/>
  <c r="O36" i="14"/>
  <c r="P36" i="14" s="1"/>
  <c r="M36" i="14"/>
  <c r="N36" i="14" s="1"/>
  <c r="K36" i="14"/>
  <c r="L36" i="14" s="1"/>
  <c r="I36" i="14"/>
  <c r="J36" i="14" s="1"/>
  <c r="G36" i="14"/>
  <c r="Q35" i="14"/>
  <c r="R35" i="14" s="1"/>
  <c r="O35" i="14"/>
  <c r="P35" i="14" s="1"/>
  <c r="M35" i="14"/>
  <c r="N35" i="14" s="1"/>
  <c r="K35" i="14"/>
  <c r="L35" i="14" s="1"/>
  <c r="I35" i="14"/>
  <c r="J35" i="14" s="1"/>
  <c r="G35" i="14"/>
  <c r="D34" i="4"/>
  <c r="D34" i="14"/>
  <c r="H35" i="10"/>
  <c r="D33" i="14"/>
  <c r="G35" i="10"/>
  <c r="D32" i="14"/>
  <c r="F35" i="10"/>
  <c r="D31" i="14"/>
  <c r="D30" i="4"/>
  <c r="D30" i="14"/>
  <c r="D35" i="10"/>
  <c r="D29" i="14"/>
  <c r="D28" i="4"/>
  <c r="D28" i="14"/>
  <c r="D26" i="14" s="1"/>
  <c r="Q39" i="14"/>
  <c r="R39" i="14" s="1"/>
  <c r="O39" i="14"/>
  <c r="M39" i="14"/>
  <c r="K39" i="14"/>
  <c r="I39" i="14"/>
  <c r="G39" i="14"/>
  <c r="Q45" i="14"/>
  <c r="R45" i="14" s="1"/>
  <c r="O45" i="14"/>
  <c r="P45" i="14" s="1"/>
  <c r="M45" i="14"/>
  <c r="N45" i="14" s="1"/>
  <c r="K45" i="14"/>
  <c r="L45" i="14" s="1"/>
  <c r="I45" i="14"/>
  <c r="J45" i="14" s="1"/>
  <c r="G45" i="14"/>
  <c r="Q44" i="14"/>
  <c r="R44" i="14" s="1"/>
  <c r="O44" i="14"/>
  <c r="P44" i="14" s="1"/>
  <c r="M44" i="14"/>
  <c r="N44" i="14" s="1"/>
  <c r="K44" i="14"/>
  <c r="L44" i="14" s="1"/>
  <c r="I44" i="14"/>
  <c r="J44" i="14" s="1"/>
  <c r="G44" i="14"/>
  <c r="Q43" i="14"/>
  <c r="R43" i="14" s="1"/>
  <c r="O43" i="14"/>
  <c r="P43" i="14" s="1"/>
  <c r="M43" i="14"/>
  <c r="N43" i="14" s="1"/>
  <c r="K43" i="14"/>
  <c r="L43" i="14" s="1"/>
  <c r="I43" i="14"/>
  <c r="J43" i="14" s="1"/>
  <c r="G43" i="14"/>
  <c r="Q42" i="14"/>
  <c r="R42" i="14" s="1"/>
  <c r="O42" i="14"/>
  <c r="P42" i="14" s="1"/>
  <c r="M42" i="14"/>
  <c r="N42" i="14" s="1"/>
  <c r="K42" i="14"/>
  <c r="L42" i="14" s="1"/>
  <c r="I42" i="14"/>
  <c r="J42" i="14" s="1"/>
  <c r="G42" i="14"/>
  <c r="Q40" i="14"/>
  <c r="R40" i="14" s="1"/>
  <c r="O40" i="14"/>
  <c r="P40" i="14" s="1"/>
  <c r="M40" i="14"/>
  <c r="N40" i="14" s="1"/>
  <c r="K40" i="14"/>
  <c r="L40" i="14" s="1"/>
  <c r="I40" i="14"/>
  <c r="J40" i="14" s="1"/>
  <c r="G40" i="14"/>
  <c r="S27" i="14"/>
  <c r="D32" i="10"/>
  <c r="C47" i="14"/>
  <c r="L8" i="14"/>
  <c r="N8" i="14" s="1"/>
  <c r="D48" i="14"/>
  <c r="O48" i="14"/>
  <c r="P48" i="14" s="1"/>
  <c r="M48" i="14"/>
  <c r="N48" i="14" s="1"/>
  <c r="K48" i="14"/>
  <c r="L48" i="14" s="1"/>
  <c r="I48" i="14"/>
  <c r="J48" i="14" s="1"/>
  <c r="D75" i="5"/>
  <c r="J25" i="3"/>
  <c r="J26" i="3" s="1"/>
  <c r="E10" i="4"/>
  <c r="A16" i="5"/>
  <c r="A15" i="5"/>
  <c r="I19" i="5"/>
  <c r="S75" i="9"/>
  <c r="S107" i="9"/>
  <c r="S149" i="9"/>
  <c r="S77" i="9"/>
  <c r="S215" i="9"/>
  <c r="S152" i="9"/>
  <c r="S342" i="9"/>
  <c r="S63" i="9"/>
  <c r="S65" i="9"/>
  <c r="S292" i="9"/>
  <c r="S327" i="9"/>
  <c r="S346" i="9"/>
  <c r="R328" i="9"/>
  <c r="K265" i="9"/>
  <c r="O265" i="9"/>
  <c r="S102" i="9"/>
  <c r="S208" i="9"/>
  <c r="Q265" i="9"/>
  <c r="J265" i="9"/>
  <c r="S39" i="9"/>
  <c r="S240" i="9"/>
  <c r="O16" i="5"/>
  <c r="O17" i="5" s="1"/>
  <c r="D26" i="3"/>
  <c r="D71" i="5"/>
  <c r="S283" i="9"/>
  <c r="S337" i="9"/>
  <c r="X367" i="9"/>
  <c r="AG367" i="9"/>
  <c r="K23" i="10"/>
  <c r="AH367" i="9"/>
  <c r="C375" i="9" s="1"/>
  <c r="Z374" i="9" s="1"/>
  <c r="L23" i="10"/>
  <c r="AI367" i="9"/>
  <c r="G244" i="9"/>
  <c r="AL131" i="9"/>
  <c r="U22" i="9"/>
  <c r="U367" i="9" s="1"/>
  <c r="U368" i="9" s="1"/>
  <c r="V367" i="9"/>
  <c r="J23" i="10"/>
  <c r="W367" i="9"/>
  <c r="P16" i="5"/>
  <c r="P17" i="5" s="1"/>
  <c r="G128" i="9"/>
  <c r="C169" i="5"/>
  <c r="B169" i="5" s="1"/>
  <c r="C145" i="5"/>
  <c r="B145" i="5" s="1"/>
  <c r="S254" i="9"/>
  <c r="S99" i="9"/>
  <c r="S139" i="9"/>
  <c r="S155" i="9"/>
  <c r="S187" i="9"/>
  <c r="S203" i="9"/>
  <c r="S219" i="9"/>
  <c r="S255" i="9"/>
  <c r="S274" i="9"/>
  <c r="S290" i="9"/>
  <c r="S309" i="9"/>
  <c r="S325" i="9"/>
  <c r="S344" i="9"/>
  <c r="S360" i="9"/>
  <c r="S36" i="9"/>
  <c r="S308" i="9"/>
  <c r="S171" i="9"/>
  <c r="S38" i="9"/>
  <c r="S53" i="9"/>
  <c r="S69" i="9"/>
  <c r="S84" i="9"/>
  <c r="S100" i="9"/>
  <c r="S140" i="9"/>
  <c r="S156" i="9"/>
  <c r="S172" i="9"/>
  <c r="S188" i="9"/>
  <c r="S204" i="9"/>
  <c r="S220" i="9"/>
  <c r="S256" i="9"/>
  <c r="S275" i="9"/>
  <c r="S291" i="9"/>
  <c r="S310" i="9"/>
  <c r="S326" i="9"/>
  <c r="S345" i="9"/>
  <c r="S170" i="9"/>
  <c r="S173" i="9"/>
  <c r="S52" i="9"/>
  <c r="S157" i="9"/>
  <c r="S258" i="9"/>
  <c r="S277" i="9"/>
  <c r="S293" i="9"/>
  <c r="S312" i="9"/>
  <c r="S347" i="9"/>
  <c r="S82" i="9"/>
  <c r="S101" i="9"/>
  <c r="S103" i="9"/>
  <c r="S259" i="9"/>
  <c r="S348" i="9"/>
  <c r="S121" i="9"/>
  <c r="S57" i="9"/>
  <c r="S176" i="9"/>
  <c r="S260" i="9"/>
  <c r="S333" i="9"/>
  <c r="S67" i="9"/>
  <c r="S343" i="9"/>
  <c r="S54" i="9"/>
  <c r="S189" i="9"/>
  <c r="S142" i="9"/>
  <c r="S25" i="9"/>
  <c r="S313" i="9"/>
  <c r="S73" i="9"/>
  <c r="S192" i="9"/>
  <c r="S279" i="9"/>
  <c r="S27" i="9"/>
  <c r="S42" i="9"/>
  <c r="S58" i="9"/>
  <c r="S74" i="9"/>
  <c r="S89" i="9"/>
  <c r="S105" i="9"/>
  <c r="S145" i="9"/>
  <c r="S161" i="9"/>
  <c r="S177" i="9"/>
  <c r="S193" i="9"/>
  <c r="S209" i="9"/>
  <c r="S239" i="9"/>
  <c r="S261" i="9"/>
  <c r="S280" i="9"/>
  <c r="S299" i="9"/>
  <c r="S315" i="9"/>
  <c r="S334" i="9"/>
  <c r="S350" i="9"/>
  <c r="S98" i="9"/>
  <c r="S324" i="9"/>
  <c r="S257" i="9"/>
  <c r="S190" i="9"/>
  <c r="S56" i="9"/>
  <c r="S143" i="9"/>
  <c r="S224" i="9"/>
  <c r="S104" i="9"/>
  <c r="S90" i="9"/>
  <c r="S106" i="9"/>
  <c r="S146" i="9"/>
  <c r="S162" i="9"/>
  <c r="S178" i="9"/>
  <c r="S194" i="9"/>
  <c r="S210" i="9"/>
  <c r="S262" i="9"/>
  <c r="S281" i="9"/>
  <c r="S300" i="9"/>
  <c r="S316" i="9"/>
  <c r="S335" i="9"/>
  <c r="S351" i="9"/>
  <c r="I328" i="9"/>
  <c r="S51" i="9"/>
  <c r="S273" i="9"/>
  <c r="S83" i="9"/>
  <c r="S70" i="9"/>
  <c r="S206" i="9"/>
  <c r="S40" i="9"/>
  <c r="S43" i="9"/>
  <c r="S29" i="9"/>
  <c r="S44" i="9"/>
  <c r="S60" i="9"/>
  <c r="S76" i="9"/>
  <c r="S91" i="9"/>
  <c r="S147" i="9"/>
  <c r="S163" i="9"/>
  <c r="S179" i="9"/>
  <c r="S195" i="9"/>
  <c r="S211" i="9"/>
  <c r="S241" i="9"/>
  <c r="S263" i="9"/>
  <c r="S301" i="9"/>
  <c r="S317" i="9"/>
  <c r="S336" i="9"/>
  <c r="S352" i="9"/>
  <c r="S298" i="9"/>
  <c r="S218" i="9"/>
  <c r="S68" i="9"/>
  <c r="S85" i="9"/>
  <c r="S221" i="9"/>
  <c r="S55" i="9"/>
  <c r="S174" i="9"/>
  <c r="S87" i="9"/>
  <c r="S88" i="9"/>
  <c r="S314" i="9"/>
  <c r="S164" i="9"/>
  <c r="S212" i="9"/>
  <c r="S242" i="9"/>
  <c r="S302" i="9"/>
  <c r="S318" i="9"/>
  <c r="S353" i="9"/>
  <c r="S186" i="9"/>
  <c r="S86" i="9"/>
  <c r="S191" i="9"/>
  <c r="S41" i="9"/>
  <c r="S59" i="9"/>
  <c r="S61" i="9"/>
  <c r="S108" i="9"/>
  <c r="S264" i="9"/>
  <c r="S31" i="9"/>
  <c r="S46" i="9"/>
  <c r="S62" i="9"/>
  <c r="S93" i="9"/>
  <c r="S109" i="9"/>
  <c r="S133" i="9"/>
  <c r="S165" i="9"/>
  <c r="S181" i="9"/>
  <c r="S197" i="9"/>
  <c r="S213" i="9"/>
  <c r="S243" i="9"/>
  <c r="P265" i="9"/>
  <c r="S284" i="9"/>
  <c r="S303" i="9"/>
  <c r="S319" i="9"/>
  <c r="S338" i="9"/>
  <c r="S354" i="9"/>
  <c r="S289" i="9"/>
  <c r="S205" i="9"/>
  <c r="S159" i="9"/>
  <c r="S148" i="9"/>
  <c r="S32" i="9"/>
  <c r="S78" i="9"/>
  <c r="S94" i="9"/>
  <c r="S134" i="9"/>
  <c r="S150" i="9"/>
  <c r="S166" i="9"/>
  <c r="S182" i="9"/>
  <c r="S198" i="9"/>
  <c r="S214" i="9"/>
  <c r="S285" i="9"/>
  <c r="S304" i="9"/>
  <c r="S320" i="9"/>
  <c r="S339" i="9"/>
  <c r="S355" i="9"/>
  <c r="S154" i="9"/>
  <c r="S359" i="9"/>
  <c r="S311" i="9"/>
  <c r="S71" i="9"/>
  <c r="S72" i="9"/>
  <c r="S294" i="9"/>
  <c r="S144" i="9"/>
  <c r="S349" i="9"/>
  <c r="S28" i="9"/>
  <c r="S92" i="9"/>
  <c r="S48" i="9"/>
  <c r="S64" i="9"/>
  <c r="S95" i="9"/>
  <c r="S118" i="9"/>
  <c r="S135" i="9"/>
  <c r="S151" i="9"/>
  <c r="S167" i="9"/>
  <c r="S199" i="9"/>
  <c r="S270" i="9"/>
  <c r="S286" i="9"/>
  <c r="S305" i="9"/>
  <c r="S321" i="9"/>
  <c r="S340" i="9"/>
  <c r="S356" i="9"/>
  <c r="S202" i="9"/>
  <c r="S122" i="9"/>
  <c r="S141" i="9"/>
  <c r="S175" i="9"/>
  <c r="S26" i="9"/>
  <c r="S30" i="9"/>
  <c r="S196" i="9"/>
  <c r="S47" i="9"/>
  <c r="S33" i="9"/>
  <c r="S79" i="9"/>
  <c r="S183" i="9"/>
  <c r="S34" i="9"/>
  <c r="S49" i="9"/>
  <c r="S80" i="9"/>
  <c r="S96" i="9"/>
  <c r="S119" i="9"/>
  <c r="S136" i="9"/>
  <c r="S168" i="9"/>
  <c r="S184" i="9"/>
  <c r="S200" i="9"/>
  <c r="S216" i="9"/>
  <c r="S287" i="9"/>
  <c r="S306" i="9"/>
  <c r="S322" i="9"/>
  <c r="S341" i="9"/>
  <c r="S357" i="9"/>
  <c r="S138" i="9"/>
  <c r="S37" i="9"/>
  <c r="S276" i="9"/>
  <c r="S158" i="9"/>
  <c r="S207" i="9"/>
  <c r="S160" i="9"/>
  <c r="S45" i="9"/>
  <c r="S180" i="9"/>
  <c r="S35" i="9"/>
  <c r="S50" i="9"/>
  <c r="S66" i="9"/>
  <c r="S81" i="9"/>
  <c r="S97" i="9"/>
  <c r="S137" i="9"/>
  <c r="S153" i="9"/>
  <c r="S169" i="9"/>
  <c r="S185" i="9"/>
  <c r="S201" i="9"/>
  <c r="S217" i="9"/>
  <c r="S253" i="9"/>
  <c r="S272" i="9"/>
  <c r="S288" i="9"/>
  <c r="S307" i="9"/>
  <c r="S323" i="9"/>
  <c r="S358" i="9"/>
  <c r="J295" i="9"/>
  <c r="Z367" i="9"/>
  <c r="H265" i="9"/>
  <c r="AB367" i="9"/>
  <c r="AE367" i="9"/>
  <c r="M265" i="9"/>
  <c r="Y367" i="9"/>
  <c r="AA367" i="9"/>
  <c r="AF367" i="9"/>
  <c r="AD367" i="9"/>
  <c r="AL367" i="9"/>
  <c r="L295" i="9"/>
  <c r="S222" i="9"/>
  <c r="S120" i="9"/>
  <c r="C247" i="9"/>
  <c r="C248" i="9" s="1"/>
  <c r="I26" i="3" s="1"/>
  <c r="O26" i="3" s="1"/>
  <c r="H24" i="10" s="1"/>
  <c r="B74" i="5"/>
  <c r="D84" i="5"/>
  <c r="D33" i="4"/>
  <c r="Q33" i="4" s="1"/>
  <c r="B143" i="5"/>
  <c r="B144" i="5" s="1"/>
  <c r="B88" i="5"/>
  <c r="D81" i="5"/>
  <c r="G265" i="9"/>
  <c r="G328" i="9"/>
  <c r="H295" i="9"/>
  <c r="O295" i="9"/>
  <c r="P295" i="9"/>
  <c r="I295" i="9"/>
  <c r="M295" i="9"/>
  <c r="J9" i="2"/>
  <c r="I3" i="5"/>
  <c r="K5" i="5" s="1"/>
  <c r="B167" i="5"/>
  <c r="B168" i="5" s="1"/>
  <c r="D83" i="5"/>
  <c r="L328" i="9"/>
  <c r="L265" i="9"/>
  <c r="N295" i="9"/>
  <c r="G27" i="10"/>
  <c r="N265" i="9"/>
  <c r="O30" i="3"/>
  <c r="E28" i="10" s="1"/>
  <c r="C35" i="10"/>
  <c r="B120" i="5"/>
  <c r="B121" i="5" s="1"/>
  <c r="D27" i="10"/>
  <c r="B155" i="5"/>
  <c r="B156" i="5" s="1"/>
  <c r="K328" i="9"/>
  <c r="G361" i="9"/>
  <c r="P328" i="9"/>
  <c r="Q295" i="9"/>
  <c r="D30" i="3"/>
  <c r="S23" i="9"/>
  <c r="H328" i="9"/>
  <c r="N328" i="9"/>
  <c r="K35" i="10"/>
  <c r="D36" i="4"/>
  <c r="B122" i="5"/>
  <c r="D29" i="3"/>
  <c r="J328" i="9"/>
  <c r="G295" i="9"/>
  <c r="N6" i="4"/>
  <c r="M56" i="3" s="1"/>
  <c r="D32" i="3"/>
  <c r="D31" i="3"/>
  <c r="J29" i="3"/>
  <c r="J31" i="3"/>
  <c r="J30" i="3"/>
  <c r="J34" i="3"/>
  <c r="J27" i="3"/>
  <c r="J32" i="3"/>
  <c r="D381" i="9"/>
  <c r="S282" i="9"/>
  <c r="S251" i="9"/>
  <c r="S22" i="9"/>
  <c r="D32" i="4"/>
  <c r="E35" i="10"/>
  <c r="D31" i="4"/>
  <c r="Q31" i="4" s="1"/>
  <c r="D29" i="4"/>
  <c r="Q29" i="4" s="1"/>
  <c r="J11" i="4"/>
  <c r="L8" i="4"/>
  <c r="N8" i="4" s="1"/>
  <c r="G32" i="10"/>
  <c r="D39" i="4"/>
  <c r="Q39" i="4" s="1"/>
  <c r="H38" i="10"/>
  <c r="G38" i="10"/>
  <c r="F38" i="10"/>
  <c r="E38" i="10"/>
  <c r="C38" i="10"/>
  <c r="N11" i="4"/>
  <c r="H11" i="4"/>
  <c r="P11" i="4"/>
  <c r="P6" i="4"/>
  <c r="L11" i="4"/>
  <c r="D48" i="4"/>
  <c r="C47" i="4"/>
  <c r="H49" i="2"/>
  <c r="F57" i="3"/>
  <c r="D41" i="14"/>
  <c r="C157" i="5"/>
  <c r="B157" i="5" s="1"/>
  <c r="B38" i="10"/>
  <c r="D45" i="4"/>
  <c r="D44" i="4"/>
  <c r="L35" i="10"/>
  <c r="J35" i="10"/>
  <c r="I35" i="10"/>
  <c r="D35" i="4"/>
  <c r="Q34" i="4"/>
  <c r="Q30" i="4"/>
  <c r="S26" i="4"/>
  <c r="D87" i="5" l="1"/>
  <c r="AP265" i="9"/>
  <c r="AP367" i="9"/>
  <c r="C267" i="9" s="1"/>
  <c r="R128" i="9"/>
  <c r="N21" i="3"/>
  <c r="K21" i="3" s="1"/>
  <c r="N22" i="3"/>
  <c r="K22" i="3" s="1"/>
  <c r="D74" i="5"/>
  <c r="D76" i="5" s="1"/>
  <c r="J24" i="10"/>
  <c r="I28" i="3"/>
  <c r="O48" i="4"/>
  <c r="P48" i="4" s="1"/>
  <c r="E48" i="14"/>
  <c r="A18" i="5"/>
  <c r="D23" i="4"/>
  <c r="Q23" i="4" s="1"/>
  <c r="R23" i="4" s="1"/>
  <c r="D23" i="14"/>
  <c r="D20" i="4"/>
  <c r="Q20" i="4" s="1"/>
  <c r="R20" i="4" s="1"/>
  <c r="D20" i="14"/>
  <c r="Q20" i="14" s="1"/>
  <c r="S26" i="14"/>
  <c r="T27" i="14"/>
  <c r="T26" i="14" s="1"/>
  <c r="T51" i="14" s="1"/>
  <c r="H40" i="14"/>
  <c r="E40" i="14"/>
  <c r="H42" i="14"/>
  <c r="E42" i="14"/>
  <c r="H43" i="14"/>
  <c r="E43" i="14"/>
  <c r="H44" i="14"/>
  <c r="E44" i="14"/>
  <c r="H45" i="14"/>
  <c r="E45" i="14"/>
  <c r="H39" i="14"/>
  <c r="E39" i="14"/>
  <c r="J39" i="14"/>
  <c r="L39" i="14"/>
  <c r="N39" i="14"/>
  <c r="P39" i="14"/>
  <c r="O28" i="14"/>
  <c r="M28" i="14"/>
  <c r="K28" i="14"/>
  <c r="I28" i="14"/>
  <c r="G28" i="14"/>
  <c r="Q29" i="14"/>
  <c r="O29" i="14"/>
  <c r="P29" i="14" s="1"/>
  <c r="M29" i="14"/>
  <c r="N29" i="14" s="1"/>
  <c r="K29" i="14"/>
  <c r="L29" i="14" s="1"/>
  <c r="I29" i="14"/>
  <c r="J29" i="14" s="1"/>
  <c r="G29" i="14"/>
  <c r="Q30" i="14"/>
  <c r="R30" i="14" s="1"/>
  <c r="O30" i="14"/>
  <c r="P30" i="14" s="1"/>
  <c r="M30" i="14"/>
  <c r="N30" i="14" s="1"/>
  <c r="K30" i="14"/>
  <c r="L30" i="14" s="1"/>
  <c r="I30" i="14"/>
  <c r="J30" i="14" s="1"/>
  <c r="G30" i="14"/>
  <c r="Q31" i="14"/>
  <c r="R31" i="14" s="1"/>
  <c r="O31" i="14"/>
  <c r="P31" i="14" s="1"/>
  <c r="M31" i="14"/>
  <c r="N31" i="14" s="1"/>
  <c r="K31" i="14"/>
  <c r="L31" i="14" s="1"/>
  <c r="I31" i="14"/>
  <c r="J31" i="14" s="1"/>
  <c r="G31" i="14"/>
  <c r="O32" i="14"/>
  <c r="P32" i="14" s="1"/>
  <c r="M32" i="14"/>
  <c r="N32" i="14" s="1"/>
  <c r="K32" i="14"/>
  <c r="L32" i="14" s="1"/>
  <c r="I32" i="14"/>
  <c r="J32" i="14" s="1"/>
  <c r="G32" i="14"/>
  <c r="Q33" i="14"/>
  <c r="R33" i="14" s="1"/>
  <c r="O33" i="14"/>
  <c r="P33" i="14" s="1"/>
  <c r="M33" i="14"/>
  <c r="N33" i="14" s="1"/>
  <c r="K33" i="14"/>
  <c r="L33" i="14" s="1"/>
  <c r="I33" i="14"/>
  <c r="J33" i="14" s="1"/>
  <c r="G33" i="14"/>
  <c r="Q34" i="14"/>
  <c r="R34" i="14" s="1"/>
  <c r="O34" i="14"/>
  <c r="P34" i="14" s="1"/>
  <c r="M34" i="14"/>
  <c r="N34" i="14" s="1"/>
  <c r="K34" i="14"/>
  <c r="L34" i="14" s="1"/>
  <c r="I34" i="14"/>
  <c r="J34" i="14" s="1"/>
  <c r="G34" i="14"/>
  <c r="H35" i="14"/>
  <c r="E35" i="14"/>
  <c r="H36" i="14"/>
  <c r="E36" i="14"/>
  <c r="H24" i="14"/>
  <c r="E24" i="14"/>
  <c r="D38" i="14"/>
  <c r="Q41" i="14"/>
  <c r="O41" i="14"/>
  <c r="P41" i="14" s="1"/>
  <c r="M41" i="14"/>
  <c r="N41" i="14" s="1"/>
  <c r="K41" i="14"/>
  <c r="L41" i="14" s="1"/>
  <c r="I41" i="14"/>
  <c r="J41" i="14" s="1"/>
  <c r="G41" i="14"/>
  <c r="G38" i="14" s="1"/>
  <c r="S250" i="9"/>
  <c r="AJ250" i="9"/>
  <c r="AJ367" i="9" s="1"/>
  <c r="I48" i="4"/>
  <c r="J48" i="4" s="1"/>
  <c r="R295" i="9"/>
  <c r="S278" i="9"/>
  <c r="R244" i="9"/>
  <c r="S244" i="9" s="1"/>
  <c r="AK131" i="9"/>
  <c r="S131" i="9"/>
  <c r="M42" i="4"/>
  <c r="N42" i="4" s="1"/>
  <c r="E375" i="9"/>
  <c r="AA374" i="9" s="1"/>
  <c r="R361" i="9"/>
  <c r="S361" i="9" s="1"/>
  <c r="S362" i="9" s="1"/>
  <c r="L31" i="3" s="1"/>
  <c r="S332" i="9"/>
  <c r="R265" i="9"/>
  <c r="S265" i="9" s="1"/>
  <c r="S266" i="9" s="1"/>
  <c r="L27" i="3" s="1"/>
  <c r="S24" i="9"/>
  <c r="S295" i="9"/>
  <c r="S296" i="9" s="1"/>
  <c r="L34" i="3" s="1"/>
  <c r="S252" i="9"/>
  <c r="S132" i="9"/>
  <c r="H247" i="9"/>
  <c r="I247" i="9"/>
  <c r="J247" i="9"/>
  <c r="P247" i="9"/>
  <c r="K247" i="9"/>
  <c r="L247" i="9"/>
  <c r="M247" i="9"/>
  <c r="N247" i="9"/>
  <c r="O247" i="9"/>
  <c r="Q247" i="9"/>
  <c r="S328" i="9"/>
  <c r="B375" i="9"/>
  <c r="Y374" i="9" s="1"/>
  <c r="S271" i="9"/>
  <c r="G247" i="9"/>
  <c r="AC368" i="9"/>
  <c r="AA368" i="9"/>
  <c r="AF368" i="9"/>
  <c r="AD368" i="9"/>
  <c r="AE368" i="9"/>
  <c r="V368" i="9"/>
  <c r="AB368" i="9"/>
  <c r="W368" i="9"/>
  <c r="E381" i="9"/>
  <c r="AD374" i="9" s="1"/>
  <c r="X368" i="9"/>
  <c r="D86" i="5"/>
  <c r="E84" i="5" s="1"/>
  <c r="B146" i="5"/>
  <c r="B147" i="5" s="1"/>
  <c r="B148" i="5" s="1"/>
  <c r="B149" i="5" s="1"/>
  <c r="C149" i="5" s="1"/>
  <c r="E149" i="5" s="1"/>
  <c r="G36" i="4"/>
  <c r="H36" i="4" s="1"/>
  <c r="Z368" i="9"/>
  <c r="B170" i="5"/>
  <c r="B171" i="5" s="1"/>
  <c r="Y368" i="9"/>
  <c r="B123" i="5"/>
  <c r="B124" i="5" s="1"/>
  <c r="B125" i="5" s="1"/>
  <c r="B126" i="5" s="1"/>
  <c r="C126" i="5" s="1"/>
  <c r="E126" i="5" s="1"/>
  <c r="B158" i="5"/>
  <c r="B159" i="5" s="1"/>
  <c r="B160" i="5" s="1"/>
  <c r="B161" i="5" s="1"/>
  <c r="C161" i="5" s="1"/>
  <c r="E161" i="5" s="1"/>
  <c r="C25" i="3"/>
  <c r="E11" i="4"/>
  <c r="I30" i="4"/>
  <c r="J30" i="4" s="1"/>
  <c r="M30" i="4"/>
  <c r="N30" i="4" s="1"/>
  <c r="G33" i="4"/>
  <c r="H33" i="4" s="1"/>
  <c r="I24" i="4"/>
  <c r="J24" i="4" s="1"/>
  <c r="T27" i="4"/>
  <c r="T26" i="4" s="1"/>
  <c r="T51" i="4" s="1"/>
  <c r="I28" i="4"/>
  <c r="J28" i="4" s="1"/>
  <c r="M50" i="3"/>
  <c r="M28" i="4"/>
  <c r="N28" i="4" s="1"/>
  <c r="O30" i="4"/>
  <c r="P30" i="4" s="1"/>
  <c r="O29" i="4"/>
  <c r="P29" i="4" s="1"/>
  <c r="M54" i="3"/>
  <c r="R29" i="4"/>
  <c r="M55" i="3"/>
  <c r="O24" i="4"/>
  <c r="P24" i="4" s="1"/>
  <c r="G30" i="4"/>
  <c r="H30" i="4" s="1"/>
  <c r="R30" i="4"/>
  <c r="G40" i="4"/>
  <c r="H40" i="4" s="1"/>
  <c r="I29" i="4"/>
  <c r="J29" i="4" s="1"/>
  <c r="G31" i="4"/>
  <c r="H31" i="4" s="1"/>
  <c r="M40" i="4"/>
  <c r="N40" i="4" s="1"/>
  <c r="I33" i="4"/>
  <c r="J33" i="4" s="1"/>
  <c r="G43" i="4"/>
  <c r="H43" i="4" s="1"/>
  <c r="M24" i="4"/>
  <c r="N24" i="4" s="1"/>
  <c r="O33" i="4"/>
  <c r="P33" i="4" s="1"/>
  <c r="O40" i="4"/>
  <c r="P40" i="4" s="1"/>
  <c r="G29" i="4"/>
  <c r="H29" i="4" s="1"/>
  <c r="R31" i="4"/>
  <c r="K32" i="4"/>
  <c r="L32" i="4" s="1"/>
  <c r="M34" i="4"/>
  <c r="N34" i="4" s="1"/>
  <c r="G39" i="4"/>
  <c r="H39" i="4" s="1"/>
  <c r="M32" i="4"/>
  <c r="N32" i="4" s="1"/>
  <c r="O32" i="4"/>
  <c r="P32" i="4" s="1"/>
  <c r="I39" i="4"/>
  <c r="J39" i="4" s="1"/>
  <c r="G42" i="4"/>
  <c r="H42" i="4" s="1"/>
  <c r="R24" i="4"/>
  <c r="O28" i="4"/>
  <c r="P28" i="4" s="1"/>
  <c r="M31" i="4"/>
  <c r="N31" i="4" s="1"/>
  <c r="I43" i="4"/>
  <c r="J43" i="4" s="1"/>
  <c r="K33" i="4"/>
  <c r="L33" i="4" s="1"/>
  <c r="M53" i="3"/>
  <c r="R42" i="4"/>
  <c r="M38" i="3"/>
  <c r="M40" i="3"/>
  <c r="M43" i="3"/>
  <c r="M44" i="3"/>
  <c r="M46" i="3"/>
  <c r="M39" i="3"/>
  <c r="M42" i="3"/>
  <c r="M45" i="3"/>
  <c r="M41" i="3"/>
  <c r="R40" i="4"/>
  <c r="R43" i="4"/>
  <c r="M39" i="4"/>
  <c r="N39" i="4" s="1"/>
  <c r="M37" i="3"/>
  <c r="M29" i="4"/>
  <c r="N29" i="4" s="1"/>
  <c r="M51" i="3"/>
  <c r="R34" i="4"/>
  <c r="G32" i="4"/>
  <c r="H32" i="4" s="1"/>
  <c r="G34" i="4"/>
  <c r="H34" i="4" s="1"/>
  <c r="G28" i="4"/>
  <c r="H28" i="4" s="1"/>
  <c r="I31" i="4"/>
  <c r="J31" i="4" s="1"/>
  <c r="O39" i="4"/>
  <c r="P39" i="4" s="1"/>
  <c r="G24" i="4"/>
  <c r="H24" i="4" s="1"/>
  <c r="D41" i="4"/>
  <c r="I41" i="4" s="1"/>
  <c r="J41" i="4" s="1"/>
  <c r="M52" i="3"/>
  <c r="D38" i="10"/>
  <c r="I34" i="4"/>
  <c r="J34" i="4" s="1"/>
  <c r="O43" i="4"/>
  <c r="P43" i="4" s="1"/>
  <c r="M33" i="4"/>
  <c r="N33" i="4" s="1"/>
  <c r="I42" i="4"/>
  <c r="J42" i="4" s="1"/>
  <c r="K40" i="4"/>
  <c r="L40" i="4" s="1"/>
  <c r="O34" i="4"/>
  <c r="P34" i="4" s="1"/>
  <c r="I40" i="4"/>
  <c r="J40" i="4" s="1"/>
  <c r="I32" i="4"/>
  <c r="J32" i="4" s="1"/>
  <c r="O31" i="4"/>
  <c r="P31" i="4" s="1"/>
  <c r="M43" i="4"/>
  <c r="N43" i="4" s="1"/>
  <c r="R33" i="4"/>
  <c r="O42" i="4"/>
  <c r="P42" i="4" s="1"/>
  <c r="K42" i="4"/>
  <c r="L42" i="4" s="1"/>
  <c r="K29" i="4"/>
  <c r="L29" i="4" s="1"/>
  <c r="K31" i="4"/>
  <c r="L31" i="4" s="1"/>
  <c r="K48" i="4"/>
  <c r="L48" i="4" s="1"/>
  <c r="M48" i="4"/>
  <c r="N48" i="4" s="1"/>
  <c r="K43" i="4"/>
  <c r="L43" i="4" s="1"/>
  <c r="K24" i="4"/>
  <c r="L24" i="4" s="1"/>
  <c r="K39" i="4"/>
  <c r="K30" i="4"/>
  <c r="L30" i="4" s="1"/>
  <c r="K28" i="4"/>
  <c r="F11" i="4"/>
  <c r="K34" i="4"/>
  <c r="L34" i="4" s="1"/>
  <c r="L57" i="3"/>
  <c r="I38" i="10" s="1"/>
  <c r="I44" i="4"/>
  <c r="J44" i="4" s="1"/>
  <c r="M44" i="4"/>
  <c r="N44" i="4" s="1"/>
  <c r="Q44" i="4"/>
  <c r="R44" i="4" s="1"/>
  <c r="O44" i="4"/>
  <c r="P44" i="4" s="1"/>
  <c r="G44" i="4"/>
  <c r="K44" i="4"/>
  <c r="L44" i="4" s="1"/>
  <c r="M45" i="4"/>
  <c r="N45" i="4" s="1"/>
  <c r="O45" i="4"/>
  <c r="P45" i="4" s="1"/>
  <c r="Q45" i="4"/>
  <c r="R45" i="4" s="1"/>
  <c r="G45" i="4"/>
  <c r="K45" i="4"/>
  <c r="L45" i="4" s="1"/>
  <c r="I45" i="4"/>
  <c r="J45" i="4" s="1"/>
  <c r="R39" i="4"/>
  <c r="K35" i="4"/>
  <c r="L35" i="4" s="1"/>
  <c r="I35" i="4"/>
  <c r="J35" i="4" s="1"/>
  <c r="G35" i="4"/>
  <c r="O35" i="4"/>
  <c r="P35" i="4" s="1"/>
  <c r="Q35" i="4"/>
  <c r="R35" i="4" s="1"/>
  <c r="M35" i="4"/>
  <c r="N35" i="4" s="1"/>
  <c r="D26" i="4"/>
  <c r="K36" i="4"/>
  <c r="L36" i="4" s="1"/>
  <c r="Q36" i="4"/>
  <c r="R36" i="4" s="1"/>
  <c r="I36" i="4"/>
  <c r="M36" i="4"/>
  <c r="N36" i="4" s="1"/>
  <c r="O36" i="4"/>
  <c r="P36" i="4" s="1"/>
  <c r="B381" i="9" l="1"/>
  <c r="AB374" i="9" s="1"/>
  <c r="U369" i="9"/>
  <c r="S329" i="9"/>
  <c r="L30" i="3" s="1"/>
  <c r="E32" i="10" s="1"/>
  <c r="K20" i="4"/>
  <c r="L20" i="4" s="1"/>
  <c r="O20" i="4"/>
  <c r="P20" i="4" s="1"/>
  <c r="H22" i="10"/>
  <c r="H23" i="10"/>
  <c r="M38" i="14"/>
  <c r="P38" i="14"/>
  <c r="I38" i="14"/>
  <c r="K38" i="14"/>
  <c r="N26" i="4"/>
  <c r="N38" i="14"/>
  <c r="P26" i="4"/>
  <c r="L38" i="14"/>
  <c r="J38" i="14"/>
  <c r="J38" i="4"/>
  <c r="O38" i="14"/>
  <c r="E72" i="5"/>
  <c r="E70" i="5"/>
  <c r="E69" i="5"/>
  <c r="E73" i="5"/>
  <c r="E71" i="5"/>
  <c r="I20" i="4"/>
  <c r="J20" i="4" s="1"/>
  <c r="T53" i="14"/>
  <c r="J63" i="3"/>
  <c r="J43" i="10" s="1"/>
  <c r="G20" i="4"/>
  <c r="H20" i="4" s="1"/>
  <c r="M20" i="4"/>
  <c r="N20" i="4" s="1"/>
  <c r="I23" i="4"/>
  <c r="J23" i="4" s="1"/>
  <c r="M23" i="4"/>
  <c r="N23" i="4" s="1"/>
  <c r="K20" i="14"/>
  <c r="L20" i="14" s="1"/>
  <c r="G20" i="14"/>
  <c r="H20" i="14" s="1"/>
  <c r="I20" i="14"/>
  <c r="J20" i="14" s="1"/>
  <c r="M20" i="14"/>
  <c r="N20" i="14" s="1"/>
  <c r="O20" i="14"/>
  <c r="P20" i="14" s="1"/>
  <c r="D248" i="9"/>
  <c r="K23" i="4"/>
  <c r="L23" i="4" s="1"/>
  <c r="O23" i="4"/>
  <c r="P23" i="4" s="1"/>
  <c r="H26" i="3"/>
  <c r="B26" i="3"/>
  <c r="G23" i="4"/>
  <c r="H23" i="4" s="1"/>
  <c r="H32" i="10"/>
  <c r="D19" i="14"/>
  <c r="U19" i="14" s="1"/>
  <c r="V19" i="14" s="1"/>
  <c r="V51" i="14" s="1"/>
  <c r="C32" i="10"/>
  <c r="D18" i="14"/>
  <c r="H34" i="14"/>
  <c r="E34" i="14"/>
  <c r="H33" i="14"/>
  <c r="E33" i="14"/>
  <c r="H32" i="14"/>
  <c r="E32" i="14"/>
  <c r="H31" i="14"/>
  <c r="E31" i="14"/>
  <c r="H30" i="14"/>
  <c r="E30" i="14"/>
  <c r="H29" i="14"/>
  <c r="E29" i="14"/>
  <c r="R29" i="14"/>
  <c r="R26" i="14" s="1"/>
  <c r="Q26" i="14"/>
  <c r="H28" i="14"/>
  <c r="E28" i="14"/>
  <c r="G26" i="14"/>
  <c r="J28" i="14"/>
  <c r="J26" i="14" s="1"/>
  <c r="I26" i="14"/>
  <c r="L28" i="14"/>
  <c r="L26" i="14" s="1"/>
  <c r="K26" i="14"/>
  <c r="N28" i="14"/>
  <c r="N26" i="14" s="1"/>
  <c r="M26" i="14"/>
  <c r="P28" i="14"/>
  <c r="P26" i="14" s="1"/>
  <c r="O26" i="14"/>
  <c r="Q23" i="14"/>
  <c r="R23" i="14" s="1"/>
  <c r="O23" i="14"/>
  <c r="P23" i="14" s="1"/>
  <c r="M23" i="14"/>
  <c r="N23" i="14" s="1"/>
  <c r="K23" i="14"/>
  <c r="L23" i="14" s="1"/>
  <c r="I23" i="14"/>
  <c r="J23" i="14" s="1"/>
  <c r="G23" i="14"/>
  <c r="D21" i="4"/>
  <c r="O21" i="4" s="1"/>
  <c r="P21" i="4" s="1"/>
  <c r="D21" i="14"/>
  <c r="F32" i="10"/>
  <c r="D22" i="14"/>
  <c r="R20" i="14"/>
  <c r="H41" i="14"/>
  <c r="H38" i="14" s="1"/>
  <c r="E41" i="14"/>
  <c r="E38" i="14" s="1"/>
  <c r="R41" i="14"/>
  <c r="R38" i="14" s="1"/>
  <c r="Q38" i="14"/>
  <c r="E82" i="5"/>
  <c r="D88" i="5"/>
  <c r="E81" i="5"/>
  <c r="E83" i="5"/>
  <c r="E85" i="5"/>
  <c r="AK367" i="9"/>
  <c r="C381" i="9" s="1"/>
  <c r="AC374" i="9" s="1"/>
  <c r="B376" i="9"/>
  <c r="E377" i="9" s="1"/>
  <c r="D19" i="4"/>
  <c r="U19" i="4" s="1"/>
  <c r="V19" i="4" s="1"/>
  <c r="V51" i="4" s="1"/>
  <c r="K61" i="3" s="1"/>
  <c r="K42" i="10" s="1"/>
  <c r="R247" i="9"/>
  <c r="S247" i="9" s="1"/>
  <c r="S248" i="9" s="1"/>
  <c r="D18" i="4"/>
  <c r="K18" i="4" s="1"/>
  <c r="L18" i="4" s="1"/>
  <c r="S128" i="9"/>
  <c r="S129" i="9" s="1"/>
  <c r="D22" i="4"/>
  <c r="G22" i="4" s="1"/>
  <c r="H22" i="4" s="1"/>
  <c r="AC369" i="9"/>
  <c r="E371" i="9" s="1"/>
  <c r="E373" i="9" s="1"/>
  <c r="W374" i="9" s="1"/>
  <c r="Y369" i="9"/>
  <c r="C371" i="9" s="1"/>
  <c r="C373" i="9" s="1"/>
  <c r="V374" i="9" s="1"/>
  <c r="B172" i="5"/>
  <c r="B173" i="5" s="1"/>
  <c r="C173" i="5" s="1"/>
  <c r="E173" i="5" s="1"/>
  <c r="J61" i="3"/>
  <c r="J42" i="10" s="1"/>
  <c r="T53" i="4"/>
  <c r="J67" i="3" s="1"/>
  <c r="J44" i="10" s="1"/>
  <c r="M57" i="3"/>
  <c r="J36" i="4"/>
  <c r="J26" i="4" s="1"/>
  <c r="E36" i="4"/>
  <c r="M47" i="3"/>
  <c r="S245" i="9"/>
  <c r="K41" i="4"/>
  <c r="L41" i="4" s="1"/>
  <c r="R26" i="4"/>
  <c r="M26" i="4"/>
  <c r="I26" i="4"/>
  <c r="O41" i="4"/>
  <c r="P41" i="4" s="1"/>
  <c r="P38" i="4" s="1"/>
  <c r="G41" i="4"/>
  <c r="G38" i="4" s="1"/>
  <c r="M41" i="4"/>
  <c r="N41" i="4" s="1"/>
  <c r="N38" i="4" s="1"/>
  <c r="Q41" i="4"/>
  <c r="R41" i="4" s="1"/>
  <c r="R38" i="4" s="1"/>
  <c r="D38" i="4"/>
  <c r="Q26" i="4"/>
  <c r="E33" i="4"/>
  <c r="E28" i="4"/>
  <c r="E34" i="4"/>
  <c r="E39" i="4"/>
  <c r="G26" i="4"/>
  <c r="O26" i="4"/>
  <c r="I38" i="4"/>
  <c r="E40" i="4"/>
  <c r="E32" i="4"/>
  <c r="E42" i="4"/>
  <c r="L28" i="4"/>
  <c r="L26" i="4" s="1"/>
  <c r="E31" i="4"/>
  <c r="K26" i="4"/>
  <c r="L39" i="4"/>
  <c r="E48" i="4"/>
  <c r="E43" i="4"/>
  <c r="E29" i="4"/>
  <c r="E30" i="4"/>
  <c r="E24" i="4"/>
  <c r="H45" i="4"/>
  <c r="E45" i="4"/>
  <c r="H44" i="4"/>
  <c r="E44" i="4"/>
  <c r="E35" i="4"/>
  <c r="H35" i="4"/>
  <c r="H26" i="4" s="1"/>
  <c r="O38" i="4" l="1"/>
  <c r="L38" i="4"/>
  <c r="K38" i="4"/>
  <c r="H26" i="14"/>
  <c r="M38" i="4"/>
  <c r="E86" i="5"/>
  <c r="F82" i="5"/>
  <c r="G82" i="5" s="1"/>
  <c r="H82" i="5" s="1"/>
  <c r="E20" i="4"/>
  <c r="E20" i="14"/>
  <c r="M21" i="4"/>
  <c r="N21" i="4" s="1"/>
  <c r="I21" i="4"/>
  <c r="J21" i="4" s="1"/>
  <c r="G21" i="4"/>
  <c r="H21" i="4" s="1"/>
  <c r="Q21" i="4"/>
  <c r="R21" i="4" s="1"/>
  <c r="E23" i="4"/>
  <c r="K21" i="4"/>
  <c r="L21" i="4" s="1"/>
  <c r="B377" i="9"/>
  <c r="V53" i="14"/>
  <c r="K63" i="3"/>
  <c r="K43" i="10" s="1"/>
  <c r="H23" i="14"/>
  <c r="E23" i="14"/>
  <c r="E26" i="14"/>
  <c r="O18" i="14"/>
  <c r="P18" i="14" s="1"/>
  <c r="M18" i="14"/>
  <c r="N18" i="14" s="1"/>
  <c r="K18" i="14"/>
  <c r="L18" i="14" s="1"/>
  <c r="I18" i="14"/>
  <c r="J18" i="14" s="1"/>
  <c r="G18" i="14"/>
  <c r="Q22" i="14"/>
  <c r="R22" i="14" s="1"/>
  <c r="O22" i="14"/>
  <c r="P22" i="14" s="1"/>
  <c r="M22" i="14"/>
  <c r="N22" i="14" s="1"/>
  <c r="K22" i="14"/>
  <c r="L22" i="14" s="1"/>
  <c r="I22" i="14"/>
  <c r="J22" i="14" s="1"/>
  <c r="G22" i="14"/>
  <c r="Q21" i="14"/>
  <c r="O21" i="14"/>
  <c r="P21" i="14" s="1"/>
  <c r="M21" i="14"/>
  <c r="N21" i="14" s="1"/>
  <c r="K21" i="14"/>
  <c r="L21" i="14" s="1"/>
  <c r="I21" i="14"/>
  <c r="J21" i="14" s="1"/>
  <c r="G21" i="14"/>
  <c r="V53" i="4"/>
  <c r="K67" i="3" s="1"/>
  <c r="K44" i="10" s="1"/>
  <c r="F81" i="5"/>
  <c r="F85" i="5"/>
  <c r="G85" i="5" s="1"/>
  <c r="F83" i="5"/>
  <c r="G83" i="5" s="1"/>
  <c r="F84" i="5"/>
  <c r="G84" i="5" s="1"/>
  <c r="O18" i="4"/>
  <c r="P18" i="4" s="1"/>
  <c r="C377" i="9"/>
  <c r="M18" i="4"/>
  <c r="N18" i="4" s="1"/>
  <c r="G18" i="4"/>
  <c r="H18" i="4" s="1"/>
  <c r="I18" i="4"/>
  <c r="J18" i="4" s="1"/>
  <c r="M22" i="4"/>
  <c r="N22" i="4" s="1"/>
  <c r="Q22" i="4"/>
  <c r="R22" i="4" s="1"/>
  <c r="O22" i="4"/>
  <c r="P22" i="4" s="1"/>
  <c r="K22" i="4"/>
  <c r="L22" i="4" s="1"/>
  <c r="L26" i="3"/>
  <c r="B371" i="9"/>
  <c r="B373" i="9" s="1"/>
  <c r="U374" i="9" s="1"/>
  <c r="I22" i="4"/>
  <c r="J22" i="4" s="1"/>
  <c r="H41" i="4"/>
  <c r="H38" i="4" s="1"/>
  <c r="Q38" i="4"/>
  <c r="E41" i="4"/>
  <c r="E38" i="4" s="1"/>
  <c r="E26" i="4"/>
  <c r="O21" i="3" l="1"/>
  <c r="D24" i="10" s="1"/>
  <c r="R16" i="4"/>
  <c r="R51" i="4" s="1"/>
  <c r="I61" i="3" s="1"/>
  <c r="I42" i="10" s="1"/>
  <c r="E21" i="4"/>
  <c r="B379" i="9"/>
  <c r="B32" i="10"/>
  <c r="D17" i="14"/>
  <c r="H18" i="14"/>
  <c r="E18" i="14"/>
  <c r="H21" i="14"/>
  <c r="E21" i="14"/>
  <c r="R21" i="14"/>
  <c r="R16" i="14" s="1"/>
  <c r="R51" i="14" s="1"/>
  <c r="R53" i="14" s="1"/>
  <c r="I63" i="3" s="1"/>
  <c r="I43" i="10" s="1"/>
  <c r="Q16" i="14"/>
  <c r="H22" i="14"/>
  <c r="E22" i="14"/>
  <c r="H84" i="5"/>
  <c r="O23" i="3"/>
  <c r="F24" i="10" s="1"/>
  <c r="H83" i="5"/>
  <c r="O22" i="3"/>
  <c r="E24" i="10" s="1"/>
  <c r="O24" i="3"/>
  <c r="G24" i="10" s="1"/>
  <c r="H85" i="5"/>
  <c r="E18" i="4"/>
  <c r="G81" i="5"/>
  <c r="F88" i="5"/>
  <c r="Q16" i="4"/>
  <c r="E22" i="4"/>
  <c r="D17" i="4"/>
  <c r="G17" i="4" s="1"/>
  <c r="F76" i="5"/>
  <c r="F69" i="5" s="1"/>
  <c r="G379" i="9" l="1"/>
  <c r="X374" i="9"/>
  <c r="R53" i="4"/>
  <c r="I67" i="3" s="1"/>
  <c r="I44" i="10" s="1"/>
  <c r="M17" i="4"/>
  <c r="N17" i="4" s="1"/>
  <c r="N16" i="4" s="1"/>
  <c r="N47" i="4" s="1"/>
  <c r="B26" i="5" s="1"/>
  <c r="O17" i="14"/>
  <c r="M17" i="14"/>
  <c r="K17" i="14"/>
  <c r="I17" i="14"/>
  <c r="G17" i="14"/>
  <c r="D16" i="14"/>
  <c r="O20" i="3"/>
  <c r="C24" i="10" s="1"/>
  <c r="H81" i="5"/>
  <c r="H88" i="5" s="1"/>
  <c r="I17" i="4"/>
  <c r="I16" i="4" s="1"/>
  <c r="F73" i="5"/>
  <c r="F70" i="5"/>
  <c r="F71" i="5"/>
  <c r="F72" i="5"/>
  <c r="O17" i="4"/>
  <c r="O16" i="4" s="1"/>
  <c r="D16" i="4"/>
  <c r="K17" i="4"/>
  <c r="L17" i="4" s="1"/>
  <c r="L16" i="4" s="1"/>
  <c r="L47" i="4" s="1"/>
  <c r="B25" i="5" s="1"/>
  <c r="H33" i="5" s="1"/>
  <c r="H17" i="4"/>
  <c r="H16" i="4" s="1"/>
  <c r="G16" i="4"/>
  <c r="F74" i="5" l="1"/>
  <c r="M16" i="4"/>
  <c r="J17" i="4"/>
  <c r="J16" i="4" s="1"/>
  <c r="J47" i="4" s="1"/>
  <c r="B24" i="5" s="1"/>
  <c r="H32" i="5" s="1"/>
  <c r="H17" i="14"/>
  <c r="H16" i="14" s="1"/>
  <c r="E17" i="14"/>
  <c r="G16" i="14"/>
  <c r="J17" i="14"/>
  <c r="J16" i="14" s="1"/>
  <c r="J47" i="14" s="1"/>
  <c r="I16" i="14"/>
  <c r="L17" i="14"/>
  <c r="L16" i="14" s="1"/>
  <c r="L47" i="14" s="1"/>
  <c r="K16" i="14"/>
  <c r="N17" i="14"/>
  <c r="N16" i="14" s="1"/>
  <c r="N47" i="14" s="1"/>
  <c r="M16" i="14"/>
  <c r="P17" i="14"/>
  <c r="P16" i="14" s="1"/>
  <c r="P47" i="14" s="1"/>
  <c r="O16" i="14"/>
  <c r="H34" i="5"/>
  <c r="P17" i="4"/>
  <c r="P16" i="4" s="1"/>
  <c r="P47" i="4" s="1"/>
  <c r="B27" i="5" s="1"/>
  <c r="E17" i="4"/>
  <c r="K16" i="4"/>
  <c r="E16" i="4" s="1"/>
  <c r="M47" i="4"/>
  <c r="M49" i="4" s="1"/>
  <c r="N53" i="4"/>
  <c r="E67" i="3" s="1"/>
  <c r="F44" i="10" s="1"/>
  <c r="K47" i="4"/>
  <c r="K49" i="4" s="1"/>
  <c r="L53" i="4"/>
  <c r="D67" i="3" s="1"/>
  <c r="E44" i="10" s="1"/>
  <c r="J53" i="4" l="1"/>
  <c r="C67" i="3" s="1"/>
  <c r="D44" i="10" s="1"/>
  <c r="I47" i="4"/>
  <c r="I49" i="4" s="1"/>
  <c r="O47" i="4"/>
  <c r="O49" i="4" s="1"/>
  <c r="P53" i="4"/>
  <c r="F67" i="3" s="1"/>
  <c r="G44" i="10" s="1"/>
  <c r="O47" i="14"/>
  <c r="O49" i="14" s="1"/>
  <c r="P53" i="14"/>
  <c r="M47" i="14"/>
  <c r="M49" i="14" s="1"/>
  <c r="N53" i="14"/>
  <c r="K47" i="14"/>
  <c r="K49" i="14" s="1"/>
  <c r="L53" i="14"/>
  <c r="I47" i="14"/>
  <c r="J53" i="14"/>
  <c r="E16" i="14"/>
  <c r="D35" i="5"/>
  <c r="E35" i="5"/>
  <c r="G35" i="5" l="1"/>
  <c r="H35" i="5" s="1"/>
  <c r="E49" i="4"/>
  <c r="D47" i="4"/>
  <c r="D49" i="4" s="1"/>
  <c r="P49" i="4" s="1"/>
  <c r="D47" i="14"/>
  <c r="D49" i="14" s="1"/>
  <c r="I49" i="14"/>
  <c r="E49" i="14" s="1"/>
  <c r="J49" i="4" l="1"/>
  <c r="J51" i="4" s="1"/>
  <c r="C61" i="3" s="1"/>
  <c r="D42" i="10" s="1"/>
  <c r="P51" i="4"/>
  <c r="F61" i="3" s="1"/>
  <c r="G42" i="10" s="1"/>
  <c r="N49" i="4"/>
  <c r="N51" i="4" s="1"/>
  <c r="E61" i="3" s="1"/>
  <c r="F42" i="10" s="1"/>
  <c r="L49" i="4"/>
  <c r="L51" i="4" s="1"/>
  <c r="D61" i="3" s="1"/>
  <c r="E42" i="10" s="1"/>
  <c r="P49" i="14"/>
  <c r="P51" i="14" s="1"/>
  <c r="F63" i="3" s="1"/>
  <c r="G43" i="10" s="1"/>
  <c r="N49" i="14"/>
  <c r="N51" i="14" s="1"/>
  <c r="E63" i="3" s="1"/>
  <c r="F43" i="10" s="1"/>
  <c r="L49" i="14"/>
  <c r="L51" i="14" s="1"/>
  <c r="D63" i="3" s="1"/>
  <c r="E43" i="10" s="1"/>
  <c r="J49" i="14"/>
  <c r="H61" i="3" l="1"/>
  <c r="H42" i="10" s="1"/>
  <c r="H47" i="4"/>
  <c r="J51" i="14"/>
  <c r="H47" i="14" s="1"/>
  <c r="H53" i="14" s="1"/>
  <c r="H63" i="3"/>
  <c r="H43" i="10" s="1"/>
  <c r="H51" i="4" l="1"/>
  <c r="B61" i="3" s="1"/>
  <c r="C42" i="10" s="1"/>
  <c r="B23" i="5"/>
  <c r="H53" i="4"/>
  <c r="B67" i="3" s="1"/>
  <c r="C44" i="10" s="1"/>
  <c r="G47" i="4"/>
  <c r="E47" i="4" s="1"/>
  <c r="C63" i="3"/>
  <c r="D43" i="10" s="1"/>
  <c r="H51" i="14"/>
  <c r="B63" i="3" s="1"/>
  <c r="C43" i="10" s="1"/>
  <c r="G47" i="14"/>
  <c r="E47" i="14" s="1"/>
  <c r="D105" i="5"/>
  <c r="D106" i="5"/>
  <c r="E31" i="5" l="1"/>
  <c r="D31" i="5"/>
  <c r="G31" i="5" l="1"/>
  <c r="H31" i="5" s="1"/>
  <c r="C108" i="5" l="1"/>
  <c r="C112" i="5"/>
  <c r="C113" i="5"/>
  <c r="D10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Bischoff, Kathrin</author>
  </authors>
  <commentList>
    <comment ref="B117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Mindestlohn bis 30.09.2022 = 10,45 €/h, ab 01.10.2022 = 12 €/h, Ansatz pauschal 12 €/h abgestimmt in UAG 30.05.2022</t>
        </r>
      </text>
    </comment>
    <comment ref="C120" authorId="0" shapeId="0" xr:uid="{00000000-0006-0000-0A00-000002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TAB Personalkostenübersicht</t>
        </r>
      </text>
    </comment>
    <comment ref="C122" authorId="0" shapeId="0" xr:uid="{00000000-0006-0000-0A00-000003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J118/K118</t>
        </r>
      </text>
    </comment>
    <comment ref="I122" authorId="0" shapeId="0" xr:uid="{00000000-0006-0000-0A00-000004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Berechnung Mindestlohn je FktBereich, kein pauschaler Ansatz - Abstimmung in UAG</t>
        </r>
      </text>
    </comment>
    <comment ref="B140" authorId="0" shapeId="0" xr:uid="{00000000-0006-0000-0A00-000005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Mindestlohn bis 30.09.2022 = 10,45 €/h, ab 01.10.2022 = 12 €/h, Ansatz pauschal 12 €/h abgestimmt in UAG 30.05.2022</t>
        </r>
      </text>
    </comment>
    <comment ref="C143" authorId="0" shapeId="0" xr:uid="{00000000-0006-0000-0A00-000006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TAB Personalkostenübersicht</t>
        </r>
      </text>
    </comment>
    <comment ref="C145" authorId="0" shapeId="0" xr:uid="{00000000-0006-0000-0A00-000007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J119/K119</t>
        </r>
      </text>
    </comment>
    <comment ref="B152" authorId="0" shapeId="0" xr:uid="{00000000-0006-0000-0A00-000008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Mindestlohn bis 30.09.2022 = 10,45 €/h, ab 01.10.2022 = 12 €/h, Ansatz pauschal 12 €/h abgestimmt in UAG 30.05.2022</t>
        </r>
      </text>
    </comment>
    <comment ref="C155" authorId="0" shapeId="0" xr:uid="{00000000-0006-0000-0A00-000009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TAB Personalkostenübersicht</t>
        </r>
      </text>
    </comment>
    <comment ref="C157" authorId="0" shapeId="0" xr:uid="{00000000-0006-0000-0A00-00000A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J120/K120</t>
        </r>
      </text>
    </comment>
    <comment ref="B164" authorId="0" shapeId="0" xr:uid="{00000000-0006-0000-0A00-00000B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Mindestlohn bis 30.09.2022 = 10,45 €/h, ab 01.10.2022 = 12 €/h, Ansatz pauschal 12 €/h abgestimmt in UAG 30.05.2022</t>
        </r>
      </text>
    </comment>
    <comment ref="C167" authorId="0" shapeId="0" xr:uid="{00000000-0006-0000-0A00-00000C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TAB Personalkostenübersicht</t>
        </r>
      </text>
    </comment>
    <comment ref="C169" authorId="0" shapeId="0" xr:uid="{00000000-0006-0000-0A00-00000D000000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Bezug zu J121/K121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Dietrich, Astrid</author>
  </authors>
  <commentList>
    <comment ref="E17" authorId="0" shapeId="0" xr:uid="{00000000-0006-0000-0400-000001000000}">
      <text>
        <r>
          <rPr>
            <sz val="8"/>
            <color indexed="81"/>
            <rFont val="Tahoma"/>
            <family val="2"/>
          </rPr>
          <t>Stolle, Simone:
Differenz ergibt sich aus Hundertstel VK-Diff. wegen Rundung Personalrelation auf 2 Nachkommastellen - ist nicht zu vermeiden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Bischoff, Kathrin</author>
  </authors>
  <commentList>
    <comment ref="A36" authorId="0" shapeId="0" xr:uid="{A7451989-A338-44DD-99F9-5C579AABC5D5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Berechnung Mindestlohn je FktBereich, kein pauschaler Ansatz - Abstimmung in UAG</t>
        </r>
      </text>
    </comment>
    <comment ref="E36" authorId="0" shapeId="0" xr:uid="{31684FD1-BA4F-4923-9CF6-8A9771AC5ADD}">
      <text>
        <r>
          <rPr>
            <b/>
            <sz val="9"/>
            <color indexed="81"/>
            <rFont val="Segoe UI"/>
            <family val="2"/>
          </rPr>
          <t>Bischoff, Kathrin:</t>
        </r>
        <r>
          <rPr>
            <sz val="9"/>
            <color indexed="81"/>
            <rFont val="Segoe UI"/>
            <family val="2"/>
          </rPr>
          <t xml:space="preserve">
Berechnung Mindestlohn je FktBereich, kein pauschaler Ansatz - Abstimmung in UAG</t>
        </r>
      </text>
    </comment>
  </commentList>
</comments>
</file>

<file path=xl/sharedStrings.xml><?xml version="1.0" encoding="utf-8"?>
<sst xmlns="http://schemas.openxmlformats.org/spreadsheetml/2006/main" count="2229" uniqueCount="1394">
  <si>
    <t>Allgemeine Angaben</t>
  </si>
  <si>
    <t>Art der Einrichtung:</t>
  </si>
  <si>
    <t>Institutionskennzeichen:</t>
  </si>
  <si>
    <t>Allgemeine Angaben zur Pflegeeinrichtung und zum Träger</t>
  </si>
  <si>
    <t>Name der Einrichtung</t>
  </si>
  <si>
    <t>Straße</t>
  </si>
  <si>
    <t>PLZ, Ort</t>
  </si>
  <si>
    <t>Telefon</t>
  </si>
  <si>
    <t>Fax</t>
  </si>
  <si>
    <t>E-Mail</t>
  </si>
  <si>
    <t>PDL</t>
  </si>
  <si>
    <t>In Trägerschaft von:</t>
  </si>
  <si>
    <t>Name des Trägers</t>
  </si>
  <si>
    <t>Zugehörigkeit zu einer Vereinigung von Trägern von stationären Pflegeeinrichtungen im Land</t>
  </si>
  <si>
    <t>Wenn ja, welche?</t>
  </si>
  <si>
    <t>Hiermit erteilen wir o.g. Vereinigung Verhandlungsmandat</t>
  </si>
  <si>
    <t>Platzzahl der Pflegeeinrichtung entsprechend des Versorgungsvertrages:</t>
  </si>
  <si>
    <t>Pflegeeinrichtungskonzeption Stand:</t>
  </si>
  <si>
    <t>ist als Anlage beigefügt</t>
  </si>
  <si>
    <t>von</t>
  </si>
  <si>
    <t>bis</t>
  </si>
  <si>
    <t>AOK PLUS</t>
  </si>
  <si>
    <t>vdek</t>
  </si>
  <si>
    <t>BKK</t>
  </si>
  <si>
    <t>IKK</t>
  </si>
  <si>
    <t>Knappschaft</t>
  </si>
  <si>
    <t>PKV</t>
  </si>
  <si>
    <t>Sonstige Sozialversicherungsträger</t>
  </si>
  <si>
    <t>jährliche Öffnungstage:</t>
  </si>
  <si>
    <t>Plätze:</t>
  </si>
  <si>
    <t>Wachkoma</t>
  </si>
  <si>
    <t>2.</t>
  </si>
  <si>
    <t>Küche</t>
  </si>
  <si>
    <t>Haustechnik</t>
  </si>
  <si>
    <t>Wäscherei</t>
  </si>
  <si>
    <t>Reinigung</t>
  </si>
  <si>
    <t>Verwaltung</t>
  </si>
  <si>
    <t>2.1</t>
  </si>
  <si>
    <t>Lebensmittel</t>
  </si>
  <si>
    <t>2.2</t>
  </si>
  <si>
    <t>Pflegerischer Bedarf</t>
  </si>
  <si>
    <t>2.3</t>
  </si>
  <si>
    <t>2.4</t>
  </si>
  <si>
    <t>Verwaltungsbedarf</t>
  </si>
  <si>
    <t>2.5</t>
  </si>
  <si>
    <t>Zentrale Verwaltungsdienste</t>
  </si>
  <si>
    <t>2.6</t>
  </si>
  <si>
    <t>Betreuungsaufwand</t>
  </si>
  <si>
    <t>2.7</t>
  </si>
  <si>
    <t>Wirtschaftsbedarf</t>
  </si>
  <si>
    <t>2.8</t>
  </si>
  <si>
    <t>Steuern/Abgaben/Versicherungen</t>
  </si>
  <si>
    <t>2.9</t>
  </si>
  <si>
    <t>Wartung (keine Instandhaltung)</t>
  </si>
  <si>
    <t>2.10</t>
  </si>
  <si>
    <t>sonstige Aufwendungen</t>
  </si>
  <si>
    <t>Divisor:</t>
  </si>
  <si>
    <t>Pflegegrad 1</t>
  </si>
  <si>
    <t>Pflegegrad 2</t>
  </si>
  <si>
    <t>Pflegegrad 3</t>
  </si>
  <si>
    <t>Pflegegrad 4</t>
  </si>
  <si>
    <t>Pflegegrad 5</t>
  </si>
  <si>
    <t>Hauswirtschaft</t>
  </si>
  <si>
    <t>Pflegegrad 1:</t>
  </si>
  <si>
    <t>Pflegegrad 2:</t>
  </si>
  <si>
    <t>Pflegegrad 3:</t>
  </si>
  <si>
    <t>Pflegegrad 4:</t>
  </si>
  <si>
    <t>Pflegegrad 5:</t>
  </si>
  <si>
    <t>Die Richtigkeit der in der Aufforderung enthaltenen Angaben wird bestätigt:</t>
  </si>
  <si>
    <t>Ort, Datum</t>
  </si>
  <si>
    <t>Gesamtkalkulation</t>
  </si>
  <si>
    <t>GELBER TEIL</t>
  </si>
  <si>
    <t>Gesamtplätze:</t>
  </si>
  <si>
    <t>WIRD AUS-</t>
  </si>
  <si>
    <t>Tage/Monat</t>
  </si>
  <si>
    <t>GEBLENDET</t>
  </si>
  <si>
    <t>Leistungsbetrag § 43 SGB XI (nur vollstationär):</t>
  </si>
  <si>
    <t>Aufwendungen für Leistungen im Pflegegrad 1</t>
  </si>
  <si>
    <t>Aufwendungen für Leistungen im Pflegegrad 2</t>
  </si>
  <si>
    <t>Aufwendungen für Leistungen im Pflegegrad 3</t>
  </si>
  <si>
    <t>Aufwendungen für Leistungen im Pflegegrad 4</t>
  </si>
  <si>
    <t>Aufwendungen für Leistungen im Pflegegrad 5</t>
  </si>
  <si>
    <t>Aufwendungen für die Unterkunft</t>
  </si>
  <si>
    <t>Aufwendungen für die Verpflegung</t>
  </si>
  <si>
    <t>Gesamtaufwendungen</t>
  </si>
  <si>
    <t>Plausi Ges.</t>
  </si>
  <si>
    <t>Gesamt in €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</si>
  <si>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</si>
  <si>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</si>
  <si>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</si>
  <si>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</si>
  <si>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</si>
  <si>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</si>
  <si>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</si>
  <si>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</si>
  <si>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Sachaufwendungen</t>
  </si>
  <si>
    <t xml:space="preserve">3. </t>
  </si>
  <si>
    <t>Fremdleistungen / Trägerleistungen</t>
  </si>
  <si>
    <t>Umsatz Leistungsbeträge § 43 SGB XI:</t>
  </si>
  <si>
    <t xml:space="preserve"> Budget Eigenanteil nach Pflegegraden:</t>
  </si>
  <si>
    <t>errechnete Pflegesätze (Tag je Platz):</t>
  </si>
  <si>
    <t>Unterkunft:</t>
  </si>
  <si>
    <t>Verpflegung:</t>
  </si>
  <si>
    <t xml:space="preserve">   (ohne Ausbildungsvergütung nach § 82a SGB XI)</t>
  </si>
  <si>
    <t>1.8.</t>
  </si>
  <si>
    <t>gehe weiter zu Bewohnervertretung</t>
  </si>
  <si>
    <t>Stellungnahme der Bewohnervertretung gem. § 85 (3) SGB XI</t>
  </si>
  <si>
    <t>Bewohnervertretung</t>
  </si>
  <si>
    <t>Bewohnerfürsprecher *</t>
  </si>
  <si>
    <t>a)</t>
  </si>
  <si>
    <t xml:space="preserve">Schriftliche Stellungnahme liegt vor </t>
  </si>
  <si>
    <t>Ja</t>
  </si>
  <si>
    <t>weitere Angaben unter c) oder als Anlage erforderlich</t>
  </si>
  <si>
    <t>Nein</t>
  </si>
  <si>
    <t>weitere Angaben unter b) erforderlich</t>
  </si>
  <si>
    <t>b)</t>
  </si>
  <si>
    <t>Begründung für Nichtvorlage der schriftlichen Stellungnahme</t>
  </si>
  <si>
    <t xml:space="preserve">Gelegenheit zur Stellungnahme wurde eingeräumt, </t>
  </si>
  <si>
    <t>Bewohnervertretung oder Bewohnerfürsprecher nicht vorhanden,</t>
  </si>
  <si>
    <t>c)</t>
  </si>
  <si>
    <t>Einbeziehung der Bewohnervertretung / des Bewohnerfürsprechers:</t>
  </si>
  <si>
    <t>Stellungnahme der Bewohnervertretung / des Bewohnerfürsprechers:</t>
  </si>
  <si>
    <t>Unterschrift des Vorsitzenden der Bewohnervertretung</t>
  </si>
  <si>
    <t>oder des Bewohnerfürsprechers</t>
  </si>
  <si>
    <t>Einrichtungsart</t>
  </si>
  <si>
    <t>Kreuz</t>
  </si>
  <si>
    <t>Öffnungstage</t>
  </si>
  <si>
    <t>Auslastung</t>
  </si>
  <si>
    <t>Ja/Nein</t>
  </si>
  <si>
    <t xml:space="preserve">vollstationäre Pflege </t>
  </si>
  <si>
    <t>x</t>
  </si>
  <si>
    <t>ja</t>
  </si>
  <si>
    <t>4. Generation</t>
  </si>
  <si>
    <t>nein</t>
  </si>
  <si>
    <t>teilstationäre Pflege</t>
  </si>
  <si>
    <t>Kurzzeitpflege</t>
  </si>
  <si>
    <t>Pflegeeinrichtung:</t>
  </si>
  <si>
    <t>Einrichtungsleitung</t>
  </si>
  <si>
    <t>Web-Adresse</t>
  </si>
  <si>
    <t>bis:</t>
  </si>
  <si>
    <t>Pflege inklusive QM</t>
  </si>
  <si>
    <t>Betreuung</t>
  </si>
  <si>
    <t>ANT am PS</t>
  </si>
  <si>
    <t>Divisor allg</t>
  </si>
  <si>
    <t>§ 43b:</t>
  </si>
  <si>
    <t>Aufwendungen für § 43b</t>
  </si>
  <si>
    <t>Der vorliegende Antrag auf Abschluss einer neuen Pflegesatzvereinbarung, die zu einer Erhöhung der</t>
  </si>
  <si>
    <t>Entgelte für Pflege, Unterkunft, Verpflegung und des einrichtungseinheitlichen Eigenanteils in vollstationären</t>
  </si>
  <si>
    <t xml:space="preserve">Einrichtungen nach § 43 führen kann, wurde uns vom Einrichtungsträger vorgelegt und erläutert. Die dem   </t>
  </si>
  <si>
    <t xml:space="preserve">Antrag zugrunde liegenden Einzelpositionen, der Umlagemaßstab sowie die Antragsbegründung wurden </t>
  </si>
  <si>
    <t>ausführlich dargestellt und auf die Möglichkeit an der Pflegesatzverhandlung teilzunehmen hingewiesen.</t>
  </si>
  <si>
    <t>(gilt nur für vollstationäre Pflegeeinrichtungen)</t>
  </si>
  <si>
    <t>§ 43b SGB XI:</t>
  </si>
  <si>
    <r>
      <t xml:space="preserve">Aufwendungen für Leistungen im </t>
    </r>
    <r>
      <rPr>
        <b/>
        <sz val="10"/>
        <color theme="1"/>
        <rFont val="Arial"/>
        <family val="2"/>
      </rPr>
      <t>Pflegegrad 1</t>
    </r>
  </si>
  <si>
    <r>
      <t>Aufwendungen für Leistungen im</t>
    </r>
    <r>
      <rPr>
        <b/>
        <sz val="10"/>
        <color theme="1"/>
        <rFont val="Arial"/>
        <family val="2"/>
      </rPr>
      <t xml:space="preserve"> Pflegegrad 2</t>
    </r>
  </si>
  <si>
    <r>
      <t xml:space="preserve">Aufwendungen für Leistungen im </t>
    </r>
    <r>
      <rPr>
        <b/>
        <sz val="10"/>
        <color theme="1"/>
        <rFont val="Arial"/>
        <family val="2"/>
      </rPr>
      <t>Pflegegrad 3</t>
    </r>
  </si>
  <si>
    <r>
      <t xml:space="preserve">Aufwendungen für Leistungen im </t>
    </r>
    <r>
      <rPr>
        <b/>
        <sz val="10"/>
        <color theme="1"/>
        <rFont val="Arial"/>
        <family val="2"/>
      </rPr>
      <t>Pflegegrad 4</t>
    </r>
  </si>
  <si>
    <r>
      <t>Aufwendungen für Leistungen im</t>
    </r>
    <r>
      <rPr>
        <b/>
        <sz val="10"/>
        <color theme="1"/>
        <rFont val="Arial"/>
        <family val="2"/>
      </rPr>
      <t xml:space="preserve"> Pflegegrad 5</t>
    </r>
  </si>
  <si>
    <r>
      <t xml:space="preserve">Aufwendungen für die 
</t>
    </r>
    <r>
      <rPr>
        <b/>
        <sz val="10"/>
        <color theme="1"/>
        <rFont val="Arial"/>
        <family val="2"/>
      </rPr>
      <t>Unterkunft</t>
    </r>
  </si>
  <si>
    <r>
      <t xml:space="preserve">Aufwendungen für die 
</t>
    </r>
    <r>
      <rPr>
        <b/>
        <sz val="10"/>
        <color theme="1"/>
        <rFont val="Arial"/>
        <family val="2"/>
      </rPr>
      <t>Verpflegung</t>
    </r>
  </si>
  <si>
    <r>
      <t xml:space="preserve">Aufwendungen für 
</t>
    </r>
    <r>
      <rPr>
        <b/>
        <sz val="10"/>
        <color theme="1"/>
        <rFont val="Arial"/>
        <family val="2"/>
      </rPr>
      <t>§ 43b</t>
    </r>
  </si>
  <si>
    <t>Pflegekassen</t>
  </si>
  <si>
    <t xml:space="preserve">davon Träger der Sozialhilfe in %   </t>
  </si>
  <si>
    <t xml:space="preserve">Parteien der Pflegesatzvereinbarung (gem. § 85 Abs. 2 SGB XI) </t>
  </si>
  <si>
    <t>Anteil in %</t>
  </si>
  <si>
    <t>kalkulatorischer Auslastungsgrad:</t>
  </si>
  <si>
    <t>* Im Sinne der besseren Lesbarkeit wurde stellvertretend für beide Geschlechtsformen durchgehend nur die männliche Form verwendet.</t>
  </si>
  <si>
    <t>Bewohnervertretung oder Bewohnerfürsprecher haben diese nicht wahrgenommen</t>
  </si>
  <si>
    <t>(schriftliche Mitteilung des Trägers der Einrichtung an die zuständige Behörde beifügen)</t>
  </si>
  <si>
    <t xml:space="preserve">Adressverzeichnis der Parteien der Pflegesatzvereinbarung
gem. § 85 Abs. 2 SGB XI sowie von Vergütungen nach § 75 SGB XII
</t>
  </si>
  <si>
    <t>AOK PLUS - Die Gesundheitskasse für Sachsen und Thüringen</t>
  </si>
  <si>
    <t>Müllerstraße 41</t>
  </si>
  <si>
    <t>09113 Chemnitz</t>
  </si>
  <si>
    <t>IKK classic</t>
  </si>
  <si>
    <t>Postfach 10 02 51</t>
  </si>
  <si>
    <t>01072 Dresden</t>
  </si>
  <si>
    <t xml:space="preserve">Knappschaft </t>
  </si>
  <si>
    <t>Regionaldirektion Chemnitz</t>
  </si>
  <si>
    <t>Jagdschänkenstraße 50</t>
  </si>
  <si>
    <t>09117 Chemnitz</t>
  </si>
  <si>
    <t>Kommunaler Sozialverband Sachsen</t>
  </si>
  <si>
    <t>Arbeitsgemeinschaft Betriebskrankenkassen</t>
  </si>
  <si>
    <t>BKK-Landesverband Mitte</t>
  </si>
  <si>
    <t>Landesrepräsentanz Sachsen</t>
  </si>
  <si>
    <t>Dr.-Külz-Ring 12</t>
  </si>
  <si>
    <t>01219 Dresden</t>
  </si>
  <si>
    <t>Arbeitsgemeinschaft Ersatzkassen</t>
  </si>
  <si>
    <t>Mitglieder</t>
  </si>
  <si>
    <t>vdek - Landesvertretung Sachsen</t>
  </si>
  <si>
    <t>Glacisstr. 4</t>
  </si>
  <si>
    <t>Techniker Krankenkasse (TK)</t>
  </si>
  <si>
    <t>01099 Dresden</t>
  </si>
  <si>
    <t>DAK-Gesundheit</t>
  </si>
  <si>
    <t>Kaufmännische Krankenkasse - KKH</t>
  </si>
  <si>
    <t>Verband der Privaten Kranken-</t>
  </si>
  <si>
    <t>versicherung e.V.</t>
  </si>
  <si>
    <t>Barmer</t>
  </si>
  <si>
    <t>Handelskrankenkasse (hkk)</t>
  </si>
  <si>
    <t>HEK - Hanseatische Krankenkasse</t>
  </si>
  <si>
    <t>Äquivalenzen</t>
  </si>
  <si>
    <t>PG 1</t>
  </si>
  <si>
    <t>PG 5</t>
  </si>
  <si>
    <t>PG 4</t>
  </si>
  <si>
    <t>PG 3</t>
  </si>
  <si>
    <t>PG 2</t>
  </si>
  <si>
    <t>PG</t>
  </si>
  <si>
    <t>EEA-Divisor</t>
  </si>
  <si>
    <t>a</t>
  </si>
  <si>
    <t>b</t>
  </si>
  <si>
    <t>Faktor tst</t>
  </si>
  <si>
    <t>Leistungbetrag vst</t>
  </si>
  <si>
    <t>e</t>
  </si>
  <si>
    <t>Kennzeichen Einrichtungsart:</t>
  </si>
  <si>
    <t>Personalaufwendungen (ohne 1.3.)</t>
  </si>
  <si>
    <r>
      <t>Freiwillige Dienste, FSJ</t>
    </r>
    <r>
      <rPr>
        <b/>
        <sz val="10"/>
        <color rgb="FFFF0000"/>
        <rFont val="Arial"/>
        <family val="2"/>
      </rPr>
      <t xml:space="preserve"> </t>
    </r>
  </si>
  <si>
    <t>check/Psatz</t>
  </si>
  <si>
    <t>g</t>
  </si>
  <si>
    <t>f = "tst"</t>
  </si>
  <si>
    <t>f = "KZP"</t>
  </si>
  <si>
    <t>Rechnung mit Äquvalenzen (Rothgang bei vst und KZP, Faktor bei tst)</t>
  </si>
  <si>
    <t>Hochrechnung der Pflegesätze bei Nullbelegung fürTP+KZP</t>
  </si>
  <si>
    <t>vst. PE mit Nullbelegung =&gt; Psätze Ermittlung dr. EEE + Leistungsbetrag, Psatz für PG 1 = 0,78 von Psatz PG 2</t>
  </si>
  <si>
    <t>Überlegung:</t>
  </si>
  <si>
    <t>h</t>
  </si>
  <si>
    <t>Faktor KZP</t>
  </si>
  <si>
    <t>"2" = tst, "1" = vst,WK, 4. Generation , "3" = KZP</t>
  </si>
  <si>
    <t>Abstimmung vom 07.08.2017 mit folgender Entscheidung:</t>
  </si>
  <si>
    <t xml:space="preserve"> - die Herleitung der Psätze für tst + KZP analog der Herleitung der PR bei Nichtbelegung</t>
  </si>
  <si>
    <t xml:space="preserve">   führt in einzelnen Fällen nicht zu den gewünschten Ergebnissen (siehe Testergebnisse vom 05.08.2017)</t>
  </si>
  <si>
    <t xml:space="preserve"> =&gt; desh. ist bei KzP und tst. PE der PG 2 bis 4 zwindend zu belegen</t>
  </si>
  <si>
    <t>Erläuterung zur Verformelung:</t>
  </si>
  <si>
    <t xml:space="preserve">                b)bilde den Psatz PG 1 und PG 5 ab, sofern belegt </t>
  </si>
  <si>
    <t xml:space="preserve">                c) ist der PG 1 bzw. PG 5 nicht belegt, dann "0"</t>
  </si>
  <si>
    <t xml:space="preserve">2. (Spalte f "tst" und f "kzp") </t>
  </si>
  <si>
    <t xml:space="preserve">    gilt 1 b) dann wird der kalkulierte Psatz abgebildet</t>
  </si>
  <si>
    <t xml:space="preserve">    gilt 1 c) dann wird anhand der jeweiligen Faktoren "tst" und "kzp" </t>
  </si>
  <si>
    <t xml:space="preserve">                 der Psatz für PG 1 vom Psatz PG 2  hochgerechnet</t>
  </si>
  <si>
    <t xml:space="preserve">                 der Psatz für PG 5 vom Psatz PG 4 hochgerechnet</t>
  </si>
  <si>
    <t>3. (Spalte g)</t>
  </si>
  <si>
    <t xml:space="preserve">     bilde die Psätze PG 1 und PG 5 entsprechend des Einrichtungstyp "tst" o. </t>
  </si>
  <si>
    <t xml:space="preserve">    "KZP" ab</t>
  </si>
  <si>
    <t>4. (Spalte h)</t>
  </si>
  <si>
    <t xml:space="preserve">    bilde alle Psätze entspr. für den einrichtungstyp "tst" oder "Kzp" ab</t>
  </si>
  <si>
    <t>07.08.2017 - Ableitung der Psätze für tst. PE und KZP bei Nullbelegungen</t>
  </si>
  <si>
    <t>1. Check - a) bilde den Psatz für PG 2 - 4 ab, falls Belegung "0" dann LEER</t>
  </si>
  <si>
    <t>Ansprechpartner/ Funktion</t>
  </si>
  <si>
    <t>Humboldtstraße 18</t>
  </si>
  <si>
    <t>04105 Leipzig</t>
  </si>
  <si>
    <t>vereinbarungen-pflege@ksv-sachsen.de</t>
  </si>
  <si>
    <t>Zelle H53 neue Formel: =WENN(Belegung!E26&gt;0;Gesamtkalkulation!H47*0,96/0,9;J53*0,78) STATT BISHER: =WENN('Allgemeine Angaben'!$L$45&gt;0;Gesamtkalkulation!L47*0,96/0,9;"")</t>
  </si>
  <si>
    <t>Nachrichtliche Angaben zum Zeitpunkt der Antragstellung und nicht Gegenstand dieses Antrages</t>
  </si>
  <si>
    <r>
      <t xml:space="preserve">Angebot gesundheitliche Versorgungsplanung in der letzten Lebensphase </t>
    </r>
    <r>
      <rPr>
        <sz val="9"/>
        <color theme="1"/>
        <rFont val="Arial"/>
        <family val="2"/>
      </rPr>
      <t>(§132g SGB V)</t>
    </r>
  </si>
  <si>
    <t>vom:</t>
  </si>
  <si>
    <t>Relationen</t>
  </si>
  <si>
    <t>zusätzliche Betreuung und Aktivierung nach    § 43 b SGB XI:</t>
  </si>
  <si>
    <t>Belegung:</t>
  </si>
  <si>
    <t>Betreuung:</t>
  </si>
  <si>
    <t>Leitung/Verwaltung:</t>
  </si>
  <si>
    <t>Hauswirtschaft:</t>
  </si>
  <si>
    <t>Küche:</t>
  </si>
  <si>
    <t>Haustechnik:</t>
  </si>
  <si>
    <t>Personalkosten:</t>
  </si>
  <si>
    <t>zusätzliche Betreuung und Aktivierung nach       § 43 b SGB XI:</t>
  </si>
  <si>
    <t>Pflege gesamt:</t>
  </si>
  <si>
    <t>Funktionsbereich:</t>
  </si>
  <si>
    <t>gesamt:</t>
  </si>
  <si>
    <t>Stellen</t>
  </si>
  <si>
    <t>Personalausstattung:</t>
  </si>
  <si>
    <t>Freiwillige Dienste/FSJ Einsatz:</t>
  </si>
  <si>
    <t>Freiwillige Dienste/ FSJ Einsatz:</t>
  </si>
  <si>
    <t>€/VK / €/Stelle</t>
  </si>
  <si>
    <t>pflegerischer Sachbedarf</t>
  </si>
  <si>
    <t>Wasser, Energie, Brenntstoffe</t>
  </si>
  <si>
    <t>Gesamtsumme: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</si>
  <si>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</si>
  <si>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</si>
  <si>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</si>
  <si>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</si>
  <si>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</si>
  <si>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</si>
  <si>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</si>
  <si>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</si>
  <si>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</si>
  <si>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</si>
  <si>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Fremdleistungen/ Leistungen des Trägers</t>
  </si>
  <si>
    <t>sonstiges</t>
  </si>
  <si>
    <t>3.1.</t>
  </si>
  <si>
    <t>3.2.</t>
  </si>
  <si>
    <t>3.3.</t>
  </si>
  <si>
    <t>3.4.</t>
  </si>
  <si>
    <t>3.5.</t>
  </si>
  <si>
    <t>3.6.</t>
  </si>
  <si>
    <t>3.7.</t>
  </si>
  <si>
    <t>geforderte Pflegesätze:</t>
  </si>
  <si>
    <t>Unterkunft</t>
  </si>
  <si>
    <t>43 b SGB XI</t>
  </si>
  <si>
    <t>Beförderung:</t>
  </si>
  <si>
    <t>Vergütungszuschlag für:</t>
  </si>
  <si>
    <t>Datum</t>
  </si>
  <si>
    <t>Unterschrift</t>
  </si>
  <si>
    <t>Eigenanteil:</t>
  </si>
  <si>
    <t>zusätzliche Betreuung und Aktivierung</t>
  </si>
  <si>
    <t>Leitung/ Verwaltung</t>
  </si>
  <si>
    <t>Wasser/ Energie/ Brennstoffe</t>
  </si>
  <si>
    <t>Steuern/ Abgaben/ Versicherungen</t>
  </si>
  <si>
    <r>
      <rPr>
        <sz val="10"/>
        <color theme="1"/>
        <rFont val="Arial"/>
        <family val="2"/>
      </rPr>
      <t>Wartung</t>
    </r>
    <r>
      <rPr>
        <sz val="9"/>
        <color theme="1"/>
        <rFont val="Arial"/>
        <family val="2"/>
      </rPr>
      <t xml:space="preserve"> (keine Instandhaltung)</t>
    </r>
  </si>
  <si>
    <t>Küche (ohne Pkt. 2.1)</t>
  </si>
  <si>
    <t>VK-Umfang für der PDL/stellv. PDL entsprechend RVT</t>
  </si>
  <si>
    <t>Plätze von</t>
  </si>
  <si>
    <t>Plätze bis</t>
  </si>
  <si>
    <t>VK</t>
  </si>
  <si>
    <t>VK PDL für PE</t>
  </si>
  <si>
    <t xml:space="preserve"> &lt; 151</t>
  </si>
  <si>
    <t>PDL/stellv. PDL</t>
  </si>
  <si>
    <t>TAB Berechnung VK-Umfang PDL/stellv. PDL eingefügt = Ergebnis mit TAB Kat verknüpft</t>
  </si>
  <si>
    <t>Belegung</t>
  </si>
  <si>
    <t>PR</t>
  </si>
  <si>
    <t>VK nach PR</t>
  </si>
  <si>
    <t>% Ansatz für Verteilung Pkosten Pflege</t>
  </si>
  <si>
    <t>PK-Pflege</t>
  </si>
  <si>
    <t>Summe:</t>
  </si>
  <si>
    <t>PDL lt. TAB Personalaufw.</t>
  </si>
  <si>
    <t>Gesamt VK Pflege inkl PDL/stellv.</t>
  </si>
  <si>
    <t>Wäschekennzeichnung</t>
  </si>
  <si>
    <t>Kalkulation</t>
  </si>
  <si>
    <t>vollstationäre Pflegeeinrichtung</t>
  </si>
  <si>
    <t>angebundene Kurzzeitpflege</t>
  </si>
  <si>
    <t>Probe</t>
  </si>
  <si>
    <t>Relation ohne PDL/stellv. PDL</t>
  </si>
  <si>
    <t>Personalumfang</t>
  </si>
  <si>
    <t>proz. Verteilung Personalumfang nach Relation</t>
  </si>
  <si>
    <t>Relation inklusive PDL/stellv. PDL</t>
  </si>
  <si>
    <t xml:space="preserve">  PDL/stellv. PDL:</t>
  </si>
  <si>
    <t>Gesamt:</t>
  </si>
  <si>
    <t>Umrechnung der Personalrelation Pflege vst. exkl. PDL/stellv. PDL für die angebundene KZP Relation Pflege inklusive PDL/stellv. PDL</t>
  </si>
  <si>
    <t>Antrag vom:</t>
  </si>
  <si>
    <t xml:space="preserve"> </t>
  </si>
  <si>
    <t>Beschäftigungsgruppen nach § 3 Abs. 3 RL § 72 SGB XI</t>
  </si>
  <si>
    <t>stellv. PDL</t>
  </si>
  <si>
    <t>PFK/BFK</t>
  </si>
  <si>
    <t>PK/BK</t>
  </si>
  <si>
    <t>PK/BK o.</t>
  </si>
  <si>
    <t>Personalkostenaufstellung nach Tätigkeit und Vergütungsgruppe</t>
  </si>
  <si>
    <t>Name der Einrichtung:</t>
  </si>
  <si>
    <t>Ort der Einrichtung:</t>
  </si>
  <si>
    <t xml:space="preserve">Angaben für den Prognosezeitraum </t>
  </si>
  <si>
    <t>Arbeitgeberanteile zur Sozialversicherung:</t>
  </si>
  <si>
    <t>%</t>
  </si>
  <si>
    <t>Folgenden Personalkostensteigerungen wurden in die Prognose eingearbeitet:</t>
  </si>
  <si>
    <t>Beiträge zur Altersvorsorge:</t>
  </si>
  <si>
    <t>Steigerung ab:</t>
  </si>
  <si>
    <t>PHK</t>
  </si>
  <si>
    <t>Prozent:</t>
  </si>
  <si>
    <t xml:space="preserve">stellv. PDL </t>
  </si>
  <si>
    <t>Präsenzkraft (4.Generation)</t>
  </si>
  <si>
    <t xml:space="preserve">             </t>
  </si>
  <si>
    <t>WBL</t>
  </si>
  <si>
    <t>QM</t>
  </si>
  <si>
    <t>Pseudonym Nummer         (bei geringfügig Beschäftigten bitte GfB eingeben)</t>
  </si>
  <si>
    <t>Stellenanteil VK</t>
  </si>
  <si>
    <t>Stufe</t>
  </si>
  <si>
    <t>Grundlohn/-gehalt in € je VK/Monat</t>
  </si>
  <si>
    <t>PFK</t>
  </si>
  <si>
    <t xml:space="preserve">Grundlohn/-gehalt </t>
  </si>
  <si>
    <t>VWL</t>
  </si>
  <si>
    <t>Urlaubsgeld</t>
  </si>
  <si>
    <t xml:space="preserve">Jahressonder-
zahlung/ 
Weihnachts-
geld </t>
  </si>
  <si>
    <t>HILFSSPALTEN_AUSBLENDEN_SPERREN</t>
  </si>
  <si>
    <t>sv-pflichtig</t>
  </si>
  <si>
    <t>sv-frei</t>
  </si>
  <si>
    <t>VK je Beschäftigungsgruppe</t>
  </si>
  <si>
    <t>durchschnittliche Gesamtbruttopersonalkosten je Stellenumfang</t>
  </si>
  <si>
    <t>Im "Registerblatt Start"  auf Einfügen oder Löschen klicken (Gruppe Zellen)</t>
  </si>
  <si>
    <t>Leiter</t>
  </si>
  <si>
    <t>1.1. Pflegefachkräfte</t>
  </si>
  <si>
    <t xml:space="preserve">PK/BK  </t>
  </si>
  <si>
    <t xml:space="preserve">PK/BK o. </t>
  </si>
  <si>
    <t>Koch</t>
  </si>
  <si>
    <t>Beikoch</t>
  </si>
  <si>
    <t>Hilfskraft</t>
  </si>
  <si>
    <t xml:space="preserve">sonstige </t>
  </si>
  <si>
    <t>Fachkräfte</t>
  </si>
  <si>
    <t>sonstige</t>
  </si>
  <si>
    <t>Leiharbeitnehmer</t>
  </si>
  <si>
    <t>Summe Pflegefachkräfte:</t>
  </si>
  <si>
    <t>1.2. Pflegehilfskräfte</t>
  </si>
  <si>
    <t>Summe Pflegehilfskräfte:</t>
  </si>
  <si>
    <t>2. Betreuung</t>
  </si>
  <si>
    <t>Summe Betreuung:</t>
  </si>
  <si>
    <t>3. Zusätzliche Betreuung und Aktivierung nach § 43b SGB XI</t>
  </si>
  <si>
    <t>Summe § 43b SGB XI:</t>
  </si>
  <si>
    <t>5. Hauswirtschaft</t>
  </si>
  <si>
    <t>Summe Hauswirtschaft:</t>
  </si>
  <si>
    <t>6. Küche</t>
  </si>
  <si>
    <t>Summe Küche:</t>
  </si>
  <si>
    <t>Beschätigungsgruppe</t>
  </si>
  <si>
    <t>VK alle Beschäftigungsgruppen</t>
  </si>
  <si>
    <t>Gesamtbruttopersonalkosten je Jahr</t>
  </si>
  <si>
    <t>jährliche Einmalzahlungen in € je Stellenanteil</t>
  </si>
  <si>
    <t>monatliche Zahlungen (AN-Brutto) in € je Stellenanteil</t>
  </si>
  <si>
    <t>Personalnebenkosten:</t>
  </si>
  <si>
    <t>Einrichtung:</t>
  </si>
  <si>
    <t>PLZ Ort:</t>
  </si>
  <si>
    <t>Welche/r Tarif/AVR</t>
  </si>
  <si>
    <t>Entgelt-gruppe</t>
  </si>
  <si>
    <t>mtl. Grundgehalt</t>
  </si>
  <si>
    <t>mtl. VWL</t>
  </si>
  <si>
    <t>mtl. pflegetypische fixe Zulagen</t>
  </si>
  <si>
    <t>mtl. Einmalzahlungen</t>
  </si>
  <si>
    <t xml:space="preserve"> mind. 3 Jahre Berufsausbildung</t>
  </si>
  <si>
    <t>mind. 1 Jahr Berufsausbildung</t>
  </si>
  <si>
    <t>ohne mind. 1 Jahr Berufsausbildung</t>
  </si>
  <si>
    <t>fixe, regelm. Entlohnung je VK</t>
  </si>
  <si>
    <t xml:space="preserve">Anteil je Beschäftigungsgruppe </t>
  </si>
  <si>
    <t xml:space="preserve">monatliche Zahlungen (AN-Brutto) in € je Stellenanteil </t>
  </si>
  <si>
    <t>durchschnittliche  Arbeitgeber-bruttopersonalkosten (inkl. SV-AG)  in € je Stellenanteil</t>
  </si>
  <si>
    <t>durchschnittliche Gesamt-bruttopersonalkosten in € je VK</t>
  </si>
  <si>
    <t>Unternehmerrisiko:</t>
  </si>
  <si>
    <t>Sozialversicherungsbeitrag "geringfügig Beschäftigte"</t>
  </si>
  <si>
    <t>Entlohnung der Pflege-/Betreuungsmitarbeiter entsprechend der Vorgaben des GVWG</t>
  </si>
  <si>
    <t>Pflegeeinrichtung</t>
  </si>
  <si>
    <t>Einr.-Art:</t>
  </si>
  <si>
    <t>Telefon:</t>
  </si>
  <si>
    <t>Fax:</t>
  </si>
  <si>
    <t>E-Mail:</t>
  </si>
  <si>
    <t>Trägerdaten</t>
  </si>
  <si>
    <t>von:</t>
  </si>
  <si>
    <t xml:space="preserve">bis: </t>
  </si>
  <si>
    <t>Belegung je Pflegegrad</t>
  </si>
  <si>
    <t>I</t>
  </si>
  <si>
    <t>II</t>
  </si>
  <si>
    <t>III</t>
  </si>
  <si>
    <t>IV</t>
  </si>
  <si>
    <t>V</t>
  </si>
  <si>
    <t>Personalrelationen Pflege</t>
  </si>
  <si>
    <t>Pflegegrad</t>
  </si>
  <si>
    <t>Personalrelationen außerhalb Pflege</t>
  </si>
  <si>
    <t>Leitung/Ver-waltung</t>
  </si>
  <si>
    <t>zusätzliche Betreuung § 43b SGB XI</t>
  </si>
  <si>
    <t>FSJ/BFD Anzahl Stellen</t>
  </si>
  <si>
    <t>Personalaufwendungen</t>
  </si>
  <si>
    <t>Pflege</t>
  </si>
  <si>
    <t>Pflegesätze</t>
  </si>
  <si>
    <t>Vergütungszuschläge für</t>
  </si>
  <si>
    <t>Eigenanteil</t>
  </si>
  <si>
    <t>Verpflegung</t>
  </si>
  <si>
    <t>Die Richtigkeit der Angaben wird bestätigt:</t>
  </si>
  <si>
    <t>IK angebundene KZP:</t>
  </si>
  <si>
    <t>Institutionskennzeichen (IK):</t>
  </si>
  <si>
    <t>IK anbebundene KZP:</t>
  </si>
  <si>
    <t>Institutionskennzeichen angebundene Kurzzeitpflege:</t>
  </si>
  <si>
    <t>Verhandelte Kostenkalkulation der aktuellen Pflegesatzvereinbarung</t>
  </si>
  <si>
    <t>Laufzeit</t>
  </si>
  <si>
    <t>Fassung vom:</t>
  </si>
  <si>
    <t>einrichtungsindividuelles Entgeltniveau</t>
  </si>
  <si>
    <t xml:space="preserve">arbeitszeitnormierter Stundenlohn </t>
  </si>
  <si>
    <t>unmittelbare Bindung Tarif/ AVR:</t>
  </si>
  <si>
    <t>Entlohnung nach:</t>
  </si>
  <si>
    <t>Besitzstand</t>
  </si>
  <si>
    <r>
      <rPr>
        <b/>
        <sz val="10"/>
        <color rgb="FFFF0000"/>
        <rFont val="Arial"/>
        <family val="2"/>
      </rPr>
      <t>regelmäßige und fixe</t>
    </r>
    <r>
      <rPr>
        <b/>
        <sz val="10"/>
        <rFont val="Arial"/>
        <family val="2"/>
      </rPr>
      <t xml:space="preserve"> pflegetypische Zulagen                                                          </t>
    </r>
  </si>
  <si>
    <r>
      <rPr>
        <b/>
        <sz val="10"/>
        <color rgb="FF0070C0"/>
        <rFont val="Arial"/>
        <family val="2"/>
      </rPr>
      <t>variable pflegetypische</t>
    </r>
    <r>
      <rPr>
        <b/>
        <sz val="10"/>
        <rFont val="Arial"/>
        <family val="2"/>
      </rPr>
      <t xml:space="preserve"> Zuschläge </t>
    </r>
  </si>
  <si>
    <t>mtl. Grundgehalt inkl. Besitzstand</t>
  </si>
  <si>
    <t xml:space="preserve">Differenzierung nach Beschäftigungs-gruppen  </t>
  </si>
  <si>
    <t>SV-Beiträge</t>
  </si>
  <si>
    <t xml:space="preserve"> (in%)</t>
  </si>
  <si>
    <t>Gesamt</t>
  </si>
  <si>
    <t>AG</t>
  </si>
  <si>
    <t>AN</t>
  </si>
  <si>
    <t>KV</t>
  </si>
  <si>
    <t>RV</t>
  </si>
  <si>
    <t>AV</t>
  </si>
  <si>
    <t>PV* mit Kd.</t>
  </si>
  <si>
    <t>Gesamt *</t>
  </si>
  <si>
    <t>U2</t>
  </si>
  <si>
    <t>100% Erstatt.</t>
  </si>
  <si>
    <t xml:space="preserve">U1 </t>
  </si>
  <si>
    <t>50% Erstatt.</t>
  </si>
  <si>
    <t>Insolvenzgeld</t>
  </si>
  <si>
    <t>Gesamt *+U2+Insolvenzgeld</t>
  </si>
  <si>
    <t>Gesamt *+U1+U2+Insolvenzgeld</t>
  </si>
  <si>
    <t>U1</t>
  </si>
  <si>
    <t>RV pauschal</t>
  </si>
  <si>
    <t>KV pauschal</t>
  </si>
  <si>
    <t xml:space="preserve">geringfügig Beschäftigte </t>
  </si>
  <si>
    <t>weitere zusätzliche Zuschläge/Zulagen / betriebliche Altersversorgung</t>
  </si>
  <si>
    <t>Ausbildungsbetrieb und/oder Praktikumsbetrieb nach dem Pflegeberufegesetz</t>
  </si>
  <si>
    <t>SPERREN UND AUSBLENDEN</t>
  </si>
  <si>
    <t>Beförderung (Preis):</t>
  </si>
  <si>
    <t>letzter Vereinbarungszeitraum:</t>
  </si>
  <si>
    <t>Steigerungsrate:</t>
  </si>
  <si>
    <t xml:space="preserve"> =&gt; Ergebnis aus Mappe Personalkostenübersicht</t>
  </si>
  <si>
    <t>Steigerungsraten</t>
  </si>
  <si>
    <t>Leitung/Veraltung</t>
  </si>
  <si>
    <t>sonstige Stellen</t>
  </si>
  <si>
    <t>Sachkosten</t>
  </si>
  <si>
    <t>Fremdleistung</t>
  </si>
  <si>
    <t>max. bis</t>
  </si>
  <si>
    <t>Stundenlohn:</t>
  </si>
  <si>
    <t>Jahresbruttostunden</t>
  </si>
  <si>
    <t>40 Std./Wo</t>
  </si>
  <si>
    <t>Jahresbruttolohn:</t>
  </si>
  <si>
    <t>Arbeitgeberanteile:</t>
  </si>
  <si>
    <t>Zwischensumme:</t>
  </si>
  <si>
    <t>sofern keine Zuschläge</t>
  </si>
  <si>
    <t>Zuschläge:</t>
  </si>
  <si>
    <t>sofern keine fest vereinbarten Sonderzahlungen</t>
  </si>
  <si>
    <t>13. Monatsgehalt**:</t>
  </si>
  <si>
    <t>inkl. 2% PNK + 2% UR:</t>
  </si>
  <si>
    <t>&lt;</t>
  </si>
  <si>
    <t>sv-freie Zuschläge</t>
  </si>
  <si>
    <t>vst./KZP</t>
  </si>
  <si>
    <t>TP</t>
  </si>
  <si>
    <t>HW</t>
  </si>
  <si>
    <t>Kü</t>
  </si>
  <si>
    <t>HAT</t>
  </si>
  <si>
    <t>Funtkionsbereich</t>
  </si>
  <si>
    <t>mittel_</t>
  </si>
  <si>
    <t xml:space="preserve">a) = Tages- oder Kurzzeitpflege, 4. Generation </t>
  </si>
  <si>
    <t>b) = vst. Einrichtung</t>
  </si>
  <si>
    <t>pauschale Herleitung der Prognose</t>
  </si>
  <si>
    <t>Mindestlohn +x %</t>
  </si>
  <si>
    <t>geeint + x%</t>
  </si>
  <si>
    <t>progn. Wert</t>
  </si>
  <si>
    <t xml:space="preserve">          </t>
  </si>
  <si>
    <t xml:space="preserve">          Abbildung der Personalkosten je Mitarbeiter in der Personalkostenübersicht (Grund: funktionsübergreifender Einsatz von Pflege- und Betreuungsmitarbeitern nach GVWG)</t>
  </si>
  <si>
    <t xml:space="preserve">    =&gt; für Leitung/Verwaltung, HAT = pauschale Steigerung der bisher geeinten PK um x% aber mindestens um x% auf den Mindestlohn</t>
  </si>
  <si>
    <t xml:space="preserve">    =&gt; sonstige Stellen = pauschale Steigerung der bisher geeitnen PK um x%</t>
  </si>
  <si>
    <t xml:space="preserve">    =&gt; im Bereich Pflege, Betreuung, 43b SGB XI </t>
  </si>
  <si>
    <t xml:space="preserve">          Abbildung der Personalkosten je Mitarbeiter in der Personalkostenübersicht wg. GVWG</t>
  </si>
  <si>
    <t xml:space="preserve">    =&gt; für Leitung/Verwaltung, HW, Kü, HAT = pauschale Steigerung der bisher geeinten PK um x% aber mindestens um x% auf den Mindestlohn</t>
  </si>
  <si>
    <t>Herleitung der Personalkosten, differenziert nach Einrichtungsform</t>
  </si>
  <si>
    <t>Die Berechnungen gehen immer von der korrekten Erfassung und der Wiedergabe der geeinten Werte vom Ergebnisblatt aus!</t>
  </si>
  <si>
    <t>Grundsatz:</t>
  </si>
  <si>
    <t>Wenn in der PKL keine Werte erfasst werden, erfolgt die Herleitung der prognostischen PK immer auf Basis der geeinten PK.</t>
  </si>
  <si>
    <r>
      <t xml:space="preserve">    =&gt; im Bereich Pflege, Betreuung, 43b SGB XI </t>
    </r>
    <r>
      <rPr>
        <u/>
        <sz val="11"/>
        <color theme="1"/>
        <rFont val="Arial"/>
        <family val="2"/>
      </rPr>
      <t>PLUS</t>
    </r>
    <r>
      <rPr>
        <sz val="11"/>
        <color theme="1"/>
        <rFont val="Arial"/>
        <family val="2"/>
      </rPr>
      <t xml:space="preserve"> HW + Kü</t>
    </r>
  </si>
  <si>
    <t xml:space="preserve">    =&gt; sonstige Stellen = pauschale Steigerung der bisher geeinten PK um x%</t>
  </si>
  <si>
    <t xml:space="preserve">       =&gt;</t>
  </si>
  <si>
    <t>unter Mindestlohn                     =&gt;</t>
  </si>
  <si>
    <t>über Mindestlohn                      =&gt;</t>
  </si>
  <si>
    <t xml:space="preserve">          bisher geeinten Personalkosten        =&gt; </t>
  </si>
  <si>
    <t>Nebenrechnung für Herleitung PK in HW_Kü</t>
  </si>
  <si>
    <t>Wenn die Einrichtung = TP oder KZP o. 4. Gen. ist und die bisher geeinten PK größer 0 € sind und PK in der PKL größer 0 € sind, dann gilt für die Prognose der Wert aus der PKL</t>
  </si>
  <si>
    <t>Berechnung der progn. PK auf Basis der geeinten PK</t>
  </si>
  <si>
    <t>B2:</t>
  </si>
  <si>
    <t xml:space="preserve"> * eine differenzierte Anpassung der Personalkosten (PK) nach GVWG +</t>
  </si>
  <si>
    <t xml:space="preserve"> * eine pauschale Anpassung der PK unter Berücksichtigung des Mindestlöhne +</t>
  </si>
  <si>
    <t xml:space="preserve"> * eine pauschale Steigerung der SK, der FL + Fahrtkosten</t>
  </si>
  <si>
    <t xml:space="preserve">ermöglicht:  </t>
  </si>
  <si>
    <t xml:space="preserve"> * eine Anpassung der Belegung, der Personalausstattung im Bereich der Pflege, Betreuung und sonstigen Stellen sowie der FKQ Pflege</t>
  </si>
  <si>
    <t>(25.05.2022/Bi)</t>
  </si>
  <si>
    <t>Berechnung auf Basis geeinte PK:</t>
  </si>
  <si>
    <t>LuV</t>
  </si>
  <si>
    <r>
      <t xml:space="preserve">*Berechnungsgrundlagen Mindestlohn für LAUFZEIT für Arbeitnehmer, die nicht in der Grundpflege tätig sind, </t>
    </r>
    <r>
      <rPr>
        <b/>
        <sz val="11"/>
        <color rgb="FF0070C0"/>
        <rFont val="Arial"/>
        <family val="2"/>
      </rPr>
      <t>LEITUNG/VERWALTUNG</t>
    </r>
  </si>
  <si>
    <r>
      <t xml:space="preserve">*Berechnungsgrundlagen Mindestlohn für LAUFZEIT für Arbeitnehmer, die nicht in der Grundpflege tätig sind, </t>
    </r>
    <r>
      <rPr>
        <b/>
        <sz val="11"/>
        <color rgb="FF0070C0"/>
        <rFont val="Arial"/>
        <family val="2"/>
      </rPr>
      <t>HAUSWIRTSCHAFT</t>
    </r>
  </si>
  <si>
    <r>
      <t xml:space="preserve">*Berechnungsgrundlagen Mindestlohn für LAUFZEIT für Arbeitnehmer, die nicht in der Grundpflege tätig sind, </t>
    </r>
    <r>
      <rPr>
        <b/>
        <sz val="11"/>
        <color rgb="FF0070C0"/>
        <rFont val="Arial"/>
        <family val="2"/>
      </rPr>
      <t>KÜCHE</t>
    </r>
  </si>
  <si>
    <r>
      <t xml:space="preserve">*Berechnungsgrundlagen Mindestlohn für LAUFZEIT für Arbeitnehmer, die nicht in der Grundpflege tätig sind, </t>
    </r>
    <r>
      <rPr>
        <b/>
        <sz val="11"/>
        <color rgb="FF0070C0"/>
        <rFont val="Arial"/>
        <family val="2"/>
      </rPr>
      <t>HAT</t>
    </r>
  </si>
  <si>
    <t xml:space="preserve">         Sobald in PKL Werte für den Bereich HW + Kü erfasst werden, ist eine Angabe der prozentualen Steigerung im TAB Kalkulation für je HW + Kü nicht möglich</t>
  </si>
  <si>
    <t>Wenn in der PKL der Wert 0 € ist, erfolgt die Herleitung der prognostischen PK immer auf Basis der geeinten PK nach folgenden Prüfschema (siehe Erläuterung TAB Kalkualtion).</t>
  </si>
  <si>
    <t>Zwischenergebnis, da Formel in TAB Kalkulation zu lang wäre</t>
  </si>
  <si>
    <t>Begründungen für:</t>
  </si>
  <si>
    <t xml:space="preserve"> - die veränderte Personalausstattung -</t>
  </si>
  <si>
    <r>
      <t xml:space="preserve"> - Personalkostensteigerungen -</t>
    </r>
    <r>
      <rPr>
        <sz val="8"/>
        <color theme="1"/>
        <rFont val="Arial"/>
        <family val="2"/>
      </rPr>
      <t xml:space="preserve">                                          (nicht für Funktionsbereich Pflege, Betreuung, zusätzliche Betreuung notwendig)</t>
    </r>
  </si>
  <si>
    <t xml:space="preserve"> - Sachkostensteigerungen -</t>
  </si>
  <si>
    <t xml:space="preserve"> - Fremdleistungen -</t>
  </si>
  <si>
    <t xml:space="preserve"> - Beförderung - </t>
  </si>
  <si>
    <t>gehe weiter zu B2_Kalkulation</t>
  </si>
  <si>
    <t>gehe weiter zu B2_Personalkostenübersicht</t>
  </si>
  <si>
    <t>1.6.2022: Begrenzung der gesteigerten Beförderungskosten auf max. 16 EUR (dtr)</t>
  </si>
  <si>
    <t>pflegesatzverhandlungen_sachsen@plus.aok.de</t>
  </si>
  <si>
    <t>Ergebnis AG VM 08.06.2022</t>
  </si>
  <si>
    <t>kein Veto in AG VM 08.06.2022</t>
  </si>
  <si>
    <t>Verwaltungs-bedarf</t>
  </si>
  <si>
    <t>Zentrale Verwaltungs-dienste</t>
  </si>
  <si>
    <t>Betreuungsauf-wand</t>
  </si>
  <si>
    <t>Steuern/Ab-gaben/Ver-sicherungen</t>
  </si>
  <si>
    <t>Fremdleistungen</t>
  </si>
  <si>
    <t>Wäschekenn-zeichnung</t>
  </si>
  <si>
    <t xml:space="preserve">Sachaufwendungen </t>
  </si>
  <si>
    <t>Wirtschafts-bedarf</t>
  </si>
  <si>
    <t>ERGEBNIS</t>
  </si>
  <si>
    <t>Vereinbarungszeitraum prospektiv</t>
  </si>
  <si>
    <t>Wasser, Energie, Brennstoffe</t>
  </si>
  <si>
    <t>Vereinbarungszeitraum prospektiv:</t>
  </si>
  <si>
    <t>handelnd für alle Kostenträger (Datum, Unterschrift)</t>
  </si>
  <si>
    <t>Heidestraße 40</t>
  </si>
  <si>
    <t>10557 Berlin</t>
  </si>
  <si>
    <t>€/Tag</t>
  </si>
  <si>
    <t>€//Tag</t>
  </si>
  <si>
    <t>Erläuterung der Änderungen gegenüber der Vorversion (Änderungshistorie) nach 19.5.2022</t>
  </si>
  <si>
    <t>Datum der 
Änderung</t>
  </si>
  <si>
    <t>Tabellenblatt</t>
  </si>
  <si>
    <t>Zeile/Spalte</t>
  </si>
  <si>
    <t>Erläuterung der Änderung</t>
  </si>
  <si>
    <t>Hinweise für die Anwender</t>
  </si>
  <si>
    <t>B2_Archiv</t>
  </si>
  <si>
    <t>TAB neu eingefügt</t>
  </si>
  <si>
    <t>Hinterlegung der SV-Beiträge und reg. En. von 2022</t>
  </si>
  <si>
    <t>TAB soll Historie des Antrages nachvollziehbar darstellen</t>
  </si>
  <si>
    <t>B2_Versionsinfo</t>
  </si>
  <si>
    <t>reg. En.</t>
  </si>
  <si>
    <t>KAT</t>
  </si>
  <si>
    <r>
      <rPr>
        <u/>
        <sz val="10"/>
        <color theme="1"/>
        <rFont val="Arial"/>
        <family val="2"/>
      </rPr>
      <t>neu:</t>
    </r>
    <r>
      <rPr>
        <sz val="10"/>
        <color theme="1"/>
        <rFont val="Arial"/>
        <family val="2"/>
      </rPr>
      <t xml:space="preserve"> 9,1% </t>
    </r>
    <r>
      <rPr>
        <u/>
        <sz val="10"/>
        <color theme="1"/>
        <rFont val="Arial"/>
        <family val="2"/>
      </rPr>
      <t xml:space="preserve"> bisher:</t>
    </r>
    <r>
      <rPr>
        <sz val="10"/>
        <color theme="1"/>
        <rFont val="Arial"/>
        <family val="2"/>
      </rPr>
      <t xml:space="preserve"> 7,5% </t>
    </r>
  </si>
  <si>
    <t>L110; M110</t>
  </si>
  <si>
    <t>M110 Ergebnis PSK vom 01.12.2022</t>
  </si>
  <si>
    <t>neu: 16,1%</t>
  </si>
  <si>
    <t>neu: 2,6%</t>
  </si>
  <si>
    <t>neu: 2,15%</t>
  </si>
  <si>
    <t>neu: 0,06%</t>
  </si>
  <si>
    <t>B104</t>
  </si>
  <si>
    <t>B106</t>
  </si>
  <si>
    <t>B110</t>
  </si>
  <si>
    <t>B111</t>
  </si>
  <si>
    <t>C104:C106</t>
  </si>
  <si>
    <t>Beitragstragung verformelt: C104=B104/2, C105=B105/2; C106=B106/2</t>
  </si>
  <si>
    <t>D104:D106</t>
  </si>
  <si>
    <t>Beitragstragung verformelt: D104=B104/2, D105=B105/2; D106=B106/3</t>
  </si>
  <si>
    <t>Überschrift neu: 2023 anstelle 2022</t>
  </si>
  <si>
    <t>B102</t>
  </si>
  <si>
    <t>E102</t>
  </si>
  <si>
    <t>B2_Personalkostenübersicht</t>
  </si>
  <si>
    <t>J12</t>
  </si>
  <si>
    <t>Datenüberprüfung - Anpassung der Eingabemeldung: SV Beitrag ohne U1 Teilnahme = 20,575%, SV-Beitrag mit U1 Teilnahme = 22,725%</t>
  </si>
  <si>
    <t>B2_Ergebnis</t>
  </si>
  <si>
    <t>Erfahrung KSV - Leistungserbringer haben oftmals auf Unterschriftenzeile der Leistungsträger unterzeichnet - mit Austausch des Wortes Leistungsträger in Kostenträger soll dies verhindert werden</t>
  </si>
  <si>
    <r>
      <rPr>
        <u/>
        <sz val="10"/>
        <color theme="1"/>
        <rFont val="Arial"/>
        <family val="2"/>
      </rPr>
      <t>neu:</t>
    </r>
    <r>
      <rPr>
        <sz val="10"/>
        <color theme="1"/>
        <rFont val="Arial"/>
        <family val="2"/>
      </rPr>
      <t xml:space="preserve"> handelnd für alle Kostenträger (Datum, Unterschrift)                bisher: handelnd für alle Leistungsträger (Datum, Unterschrift)</t>
    </r>
  </si>
  <si>
    <t>Zeile 51</t>
  </si>
  <si>
    <t>Adressverzeichnis</t>
  </si>
  <si>
    <t>Zeile 44/45</t>
  </si>
  <si>
    <t>Anpassung der Anschrift der PKV - aktuell auf: Heidestraße 40, 10557 Berlin</t>
  </si>
  <si>
    <t>Aufnahme bpa Hinweis vom September 2022</t>
  </si>
  <si>
    <t>B2_Gesamtkalkulation</t>
  </si>
  <si>
    <t>Zelle H15;J15;L15;N15;P15;R15;T15;V15</t>
  </si>
  <si>
    <t>bisher Tag/€ - korrigiert in €/Tag</t>
  </si>
  <si>
    <t>Korrektur der Überschrift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</si>
  <si>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</si>
  <si>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</si>
  <si>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</si>
  <si>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</si>
  <si>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</si>
  <si>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</si>
  <si>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</si>
  <si>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</si>
  <si>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</si>
  <si>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</si>
  <si>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</si>
  <si>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 xml:space="preserve"> =Summe(L36:M45)</t>
  </si>
  <si>
    <t>M49</t>
  </si>
  <si>
    <t xml:space="preserve"> =(WENNFEHLER(L49/B1_Gesamtkalkulation!$N$6;""))</t>
  </si>
  <si>
    <t>M50</t>
  </si>
  <si>
    <t>M51</t>
  </si>
  <si>
    <t>M52</t>
  </si>
  <si>
    <t>M53</t>
  </si>
  <si>
    <t>M54</t>
  </si>
  <si>
    <t>M55</t>
  </si>
  <si>
    <t>M56</t>
  </si>
  <si>
    <t xml:space="preserve"> =Summe(L49:M55)</t>
  </si>
  <si>
    <t>M36:M56</t>
  </si>
  <si>
    <t>bedingte Formatierung: 0,00 "€/Tag"</t>
  </si>
  <si>
    <t>M46; M56</t>
  </si>
  <si>
    <t>graue Füllfarbe</t>
  </si>
  <si>
    <t>bedingte Formatierung: wenn "Allgemeine Angaben$D$7 &lt;&gt;"vst", dann Füllfarbe grau + Schrift weiß, ansonsten Wert sichtbar</t>
  </si>
  <si>
    <t xml:space="preserve"> =(WENNFEHLER(L36/B2_Gesamtkalkulation!$N$6;""))</t>
  </si>
  <si>
    <t xml:space="preserve"> =(WENNFEHLER(L37/B2_Gesamtkalkulation!$N$6;""))</t>
  </si>
  <si>
    <t xml:space="preserve"> =(WENNFEHLER(L38/B2_Gesamtkalkulation!$N$6;""))</t>
  </si>
  <si>
    <t xml:space="preserve"> =(WENNFEHLER(L39/B2_Gesamtkalkulation!$N$6;""))</t>
  </si>
  <si>
    <t xml:space="preserve"> =(WENNFEHLER(L40/B2_Gesamtkalkulation!$N$6;""))</t>
  </si>
  <si>
    <t xml:space="preserve"> =(WENNFEHLER(L41/B2_Gesamtkalkulation!$N$6;""))</t>
  </si>
  <si>
    <t xml:space="preserve"> =(WENNFEHLER(L42/B2_Gesamtkalkulation!$N$6;""))</t>
  </si>
  <si>
    <t xml:space="preserve"> =(WENNFEHLER(L44/B2_Gesamtkalkulation!$N$6;""))</t>
  </si>
  <si>
    <t xml:space="preserve"> =(WENNFEHLER(L43/B2_Gesamtkalkulation!$N$6;""))</t>
  </si>
  <si>
    <t xml:space="preserve"> =(WENNFEHLER(L45/B2_Gesamtkalkulation!$N$6;""))</t>
  </si>
  <si>
    <t xml:space="preserve"> =(WENNFEHLER(L50/B2_Gesamtkalkulation!$N$6;""))</t>
  </si>
  <si>
    <t xml:space="preserve"> =(WENNFEHLER(L51/B2_Gesamtkalkulation!$N$6;""))</t>
  </si>
  <si>
    <t xml:space="preserve"> =(WENNFEHLER(L52/B2_Gesamtkalkulation!$N$6;""))</t>
  </si>
  <si>
    <t xml:space="preserve"> =(WENNFEHLER(L53/B2_Gesamtkalkulation!$N$6;""))</t>
  </si>
  <si>
    <t xml:space="preserve"> =(WENNFEHLER(L54/B2_Gesamtkalkulation!$N$6;""))</t>
  </si>
  <si>
    <t xml:space="preserve"> =(WENNFEHLER(L55/B2_Gesamtkalkulation!$N$6;""))</t>
  </si>
  <si>
    <t>G111</t>
  </si>
  <si>
    <t>InsolvG. neu 0,06%</t>
  </si>
  <si>
    <t>B2_Kalkulation</t>
  </si>
  <si>
    <t>J15</t>
  </si>
  <si>
    <t>Datenüberprüfung - Anpassung der Eingabemeldung: 28,350% ohne U1, 29,250 % mit U1</t>
  </si>
  <si>
    <t>A1</t>
  </si>
  <si>
    <t>B2_Allgemeine Angaben und B2_Hinweise</t>
  </si>
  <si>
    <t xml:space="preserve">Überschrift neu: Vereinfachtes Verfahren der Aufforderung zum Abschluss einer Pflegesatzvereinbarung gemäß § 84, 85 SGB XI </t>
  </si>
  <si>
    <t>B2_Hinweise</t>
  </si>
  <si>
    <t>neue Hinweise Stand 8.12.22 und Anpassung Fußzeilen</t>
  </si>
  <si>
    <t>Bereich A348:F360</t>
  </si>
  <si>
    <t>Zellen gesperrt aber nicht mehr ausgeblendet</t>
  </si>
  <si>
    <t>Seite 4</t>
  </si>
  <si>
    <t>Austausch</t>
  </si>
  <si>
    <t>der AG-Anteil SV wird nicht aus der Mappe Berechnung übernommen (die gibt es in diesen Unterlagen nicht), sondern aus der Mappe Personalkostenübersicht</t>
  </si>
  <si>
    <t>H36</t>
  </si>
  <si>
    <t>Formel fehlte, Formel wurde wie folgt eingefügt:=G36/$H$11</t>
  </si>
  <si>
    <t>Gründungsdatum der Pflegeeinrichtung:</t>
  </si>
  <si>
    <t>Auslastungsgrad IST:</t>
  </si>
  <si>
    <t>B2_Allgemeine Angaben</t>
  </si>
  <si>
    <t>2 Zeilen nach Zeile 43 eingefügt</t>
  </si>
  <si>
    <t>B44</t>
  </si>
  <si>
    <t>H44</t>
  </si>
  <si>
    <t>Erfassungsfeld für das Gründungsdatum der Pflegeeinrichtung</t>
  </si>
  <si>
    <t>B2:Kalkulation</t>
  </si>
  <si>
    <t>B7</t>
  </si>
  <si>
    <t>D7</t>
  </si>
  <si>
    <t>Erfassungsfeld für die Belegungstage der letzten 24 Monate, bedingt formatiert, Anzeige nur bei KZP ansonsten grau</t>
  </si>
  <si>
    <t>Belegung der letzten 24 Monate:/ bedingt formatiert, Anzeige nur bei KZP ansonsten grau</t>
  </si>
  <si>
    <t>E7</t>
  </si>
  <si>
    <t>Auslastungsgrad IST:/bedingt formatiert, Anzeige nur bei KZP ansonsten grau</t>
  </si>
  <si>
    <t>F7</t>
  </si>
  <si>
    <t>Berechnungsfeld für die Auslastung IST/ Formel: =D7/2/('B2_Allgemeine Angaben'!L46*365)/ bedingt formatiert, Anzeige nur bei KZP ansonsten grau</t>
  </si>
  <si>
    <t>Zulassungsdatum der Pflegeeinrichtung:</t>
  </si>
  <si>
    <t>statt: Gründungsdatum der Pflegeeinrichtung NEU: Zulassungsdatum der Pflegeeinrichtung</t>
  </si>
  <si>
    <t>Wortlaut analog Rahmenempfehlung § 88 a SGB XI</t>
  </si>
  <si>
    <t>Text gelöscht: zusätzliches Personal nach § 8 Abs. 6 SGB XI</t>
  </si>
  <si>
    <t>B72</t>
  </si>
  <si>
    <t>B74 + L74</t>
  </si>
  <si>
    <t>B74 - Inhalt wird in B70 verschoben</t>
  </si>
  <si>
    <t>Inhalte entfernt</t>
  </si>
  <si>
    <t>2023 (ab 01.07.2023)</t>
  </si>
  <si>
    <t>NEU: 2023 (ab 01.07.2023)</t>
  </si>
  <si>
    <t>B107</t>
  </si>
  <si>
    <t>NEU: 3,400</t>
  </si>
  <si>
    <t>C107</t>
  </si>
  <si>
    <t>Neu: 1,200</t>
  </si>
  <si>
    <t>D107</t>
  </si>
  <si>
    <t>NEU: 2,200</t>
  </si>
  <si>
    <t>C109</t>
  </si>
  <si>
    <t>NEU: 0,790</t>
  </si>
  <si>
    <t>NEU Datenübertrag - Anpassung Eingabetext: SV Beitrag ohne U1 Teilnahme 22,700 %, SV Beitrag mit U1 Teilnahme 22,850 %</t>
  </si>
  <si>
    <t>D6</t>
  </si>
  <si>
    <t>Datenübertragung Text NEU: KZP ....mind. 78% bis 100%</t>
  </si>
  <si>
    <t>Datenübertragung Felhermeldung NEU: 78 bis 100</t>
  </si>
  <si>
    <t>Datenübertragung Erfassungsmöglichkeit  NEU: 78% bis 100%</t>
  </si>
  <si>
    <t xml:space="preserve"> =&gt; da mindestens 24 M Belegungsangabe</t>
  </si>
  <si>
    <t xml:space="preserve"> =DATEDIF(H44;H51;"m")</t>
  </si>
  <si>
    <t>K44</t>
  </si>
  <si>
    <t>K45</t>
  </si>
  <si>
    <t>Plausifeld</t>
  </si>
  <si>
    <t xml:space="preserve"> =WENN(UND(H44="";H51&lt;&gt;"");"Bitte Erfassung Zulassungsdatum";"")</t>
  </si>
  <si>
    <t>C7</t>
  </si>
  <si>
    <t xml:space="preserve"> =WENN('B2_Allgemeine Angaben'!K44&lt;14,01;10;WENN('B2_Allgemeine Angaben'!K44&lt;26,01;12;24))</t>
  </si>
  <si>
    <t>Datenübertragung Text NEU: KZP ....73% bis 100%</t>
  </si>
  <si>
    <t>Datenübertragung Erfassungsmöglichkeit  NEU: 73% bis 100%</t>
  </si>
  <si>
    <t>Datenübertragung Felhermeldung NEU: 73 bis 100</t>
  </si>
  <si>
    <t xml:space="preserve">C7 </t>
  </si>
  <si>
    <t>benutzerdefiniert formatiert: ZAHL "Kalendermonate"</t>
  </si>
  <si>
    <t xml:space="preserve"> =D7/('B2_Allgemeine Angaben'!L46*365/12*C7)</t>
  </si>
  <si>
    <t>vereinf. Verfahren nach Vollverhandlung möglich</t>
  </si>
  <si>
    <t>Berechnung Differenz zw. VV und LZ Beginn neu</t>
  </si>
  <si>
    <t>Text: Belegungstage - letzten</t>
  </si>
  <si>
    <t>damit eine korrekte Berechnung in Bezug zum Belegungszeitraum erfolgt</t>
  </si>
  <si>
    <t>Datenübertragung Hinweisfeld: Verweis auf "B2_Hinweise anstelle auf "Allgemeine Hinweise"</t>
  </si>
  <si>
    <t>Verweis auf TAB mit korrekter Bezeichnung</t>
  </si>
  <si>
    <t>Angebot gesundheitliche Versorgungsplanung in der letzten Lebensphase (§132g SGB V)</t>
  </si>
  <si>
    <t>PV ab 01.07.2023: 3,400 %, Tragung für Sachsen noch unbekannt, Diff. zw. 3,05% und 3,4% wird hälftig zw. AN+AG verteilt - analog PSK Entwurf Ausbildungsumlageverfahren</t>
  </si>
  <si>
    <t xml:space="preserve">Entlohnung nach: </t>
  </si>
  <si>
    <t>Zeile 3</t>
  </si>
  <si>
    <t>Auswahl der Entlohnungsart und des Tarifs aus Blatt B2_Personalkostenübersicht Zellen G8 und G9 übertragen; 
bedingte Formatierung auf C3 und E3, falls keine Eintragung um die "0" unsichtbar zu machen</t>
  </si>
  <si>
    <t>Alt: Platzzahl der angebundenen Kurzzeitpflegeeinrichtung lt. Versorgungsvertrag</t>
  </si>
  <si>
    <t>B47</t>
  </si>
  <si>
    <t>Neu: Platzzahl der angebundenen/ integrierte Kurzzeitpflege lt. Versorgungsvertrag</t>
  </si>
  <si>
    <t>L47</t>
  </si>
  <si>
    <t>Datenüberprüfung - Eingabemeldung Titel: ALT - angebundene KZP</t>
  </si>
  <si>
    <t>Datenüberprüfung - Eingabemeldung Titel: Neu - angebundene/ integrierte KZP</t>
  </si>
  <si>
    <t>Datenüberprüfung - Fehlermeldung Titel ALT: angebundene KZP</t>
  </si>
  <si>
    <t>Datenüberprüfung - Fehlermeldung Titel Neu: angebundene/ integrierte KZP</t>
  </si>
  <si>
    <t>B16</t>
  </si>
  <si>
    <t>ALT: Belegung für angebundene Kurzzeitpflege:</t>
  </si>
  <si>
    <t>NEU: Belegung für angebundene/ integrierte KZP:</t>
  </si>
  <si>
    <t>H16</t>
  </si>
  <si>
    <t>ALT: geforderte Pflegesätze für die angebundene Kurzzeitpflege (KZP):</t>
  </si>
  <si>
    <t>Neu: geforderte Pflegesätze für die angebundene/ integrierte Kurzzeitpflege (KZP):</t>
  </si>
  <si>
    <t>B62</t>
  </si>
  <si>
    <t>ALT: Vergütungszuschlag für angebundene KZP</t>
  </si>
  <si>
    <t>I62</t>
  </si>
  <si>
    <t>NEU: Vergütungszuschlag für angebundene/ integrierte KZP:</t>
  </si>
  <si>
    <t>ALT: =WENN('B2_Allgemeine Angaben'!L47&gt;0;"errechnete Pflegesätze (Tag je Platz) für angebundene Kurzzeitpflege:";"")</t>
  </si>
  <si>
    <t>NEU: =WENN('B2_Allgemeine Angaben'!L47&gt;0;"errechnete Pflegesätze (Tag je Platz) für angebundene/ integrierte KZP:";"")</t>
  </si>
  <si>
    <t>B53</t>
  </si>
  <si>
    <t>H53</t>
  </si>
  <si>
    <t>ALT: =WENNFEHLER(WENN(B2_Kalkulation!H14&gt;0;B2_Gesamtkalkulation!H47*0,96/0,9;J53*0,78);0)</t>
  </si>
  <si>
    <t>ALT =WENNFEHLER(WENN('B2_Allgemeine Angaben'!$L$47&gt;0;B2_Gesamtkalkulation!J47*0,96/0,9;"");0)</t>
  </si>
  <si>
    <t>J53</t>
  </si>
  <si>
    <t>ALT: =WENNFEHLER(WENN('B2_Allgemeine Angaben'!$L$47&gt;0;B2_Gesamtkalkulation!L47*0,96/0,9;"");0)</t>
  </si>
  <si>
    <t>L53</t>
  </si>
  <si>
    <t xml:space="preserve"> ALT: =WENNFEHLER(WENN('B2_Allgemeine Angaben'!$L$47&gt;0;B2_Gesamtkalkulation!N47*0,96/0,9;"");0)</t>
  </si>
  <si>
    <t>N53</t>
  </si>
  <si>
    <t>Alt: =WENNFEHLER(WENN('B2_Allgemeine Angaben'!$L$47&gt;0;B2_Gesamtkalkulation!P47*0,96/0,9;"");0)</t>
  </si>
  <si>
    <t>P53</t>
  </si>
  <si>
    <t xml:space="preserve"> ALT: =WENNFEHLER(WENN('B2_Allgemeine Angaben'!$L$47&gt;0;B2_Gesamtkalkulation!R51*0,96/0,9;"");0)</t>
  </si>
  <si>
    <t>R53</t>
  </si>
  <si>
    <t>T53</t>
  </si>
  <si>
    <t xml:space="preserve"> ALT: =WENNFEHLER(WENN('B2_Allgemeine Angaben'!$L$47&gt;0;B2_Gesamtkalkulation!T51*0,96/0,9;"");0)</t>
  </si>
  <si>
    <t>B43</t>
  </si>
  <si>
    <t>ALT: angebundene Kurzzeitpflege:</t>
  </si>
  <si>
    <t>B19</t>
  </si>
  <si>
    <t>lt. PSK 25.05.2023 - können auch integrierte KZP eine höhere Vergütung abgeleitet von einem Auslastungsgrad von 80% erhalten (aus Platzgründen wurde anstelle Kurzzeitpflegeeinrichtung jetzt Kurzzeitpflege geschrieben in B47 bzw. in anderen Zellen nur noch KZP)</t>
  </si>
  <si>
    <r>
      <t>NEU =WENNFEHLER(WENN(B2_Kalkulation!H14&gt;0;B2_Gesamtkalkulation!H47*0,96/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;J53*0,78);0)</t>
    </r>
  </si>
  <si>
    <r>
      <t>NEU=WENNFEHLER(WENN('B2_Allgemeine Angaben'!$L$47&gt;0;B2_Gesamtkalkulation!J47*0,96/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;"");0)</t>
    </r>
  </si>
  <si>
    <r>
      <t>NEU: =WENNFEHLER(WENN('B2_Allgemeine Angaben'!$L$47&gt;0;B2_Gesamtkalkulation!L47*0,96/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;"");0)</t>
    </r>
  </si>
  <si>
    <r>
      <t xml:space="preserve"> NEU: =WENNFEHLER(WENN('B2_Allgemeine Angaben'!$L$47&gt;0;B2_Gesamtkalkulation!N47*0,96/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;"");0)</t>
    </r>
  </si>
  <si>
    <r>
      <t xml:space="preserve"> NEU: =WENNFEHLER(WENN('B2_Allgemeine Angaben'!$L$47&gt;0;B2_Gesamtkalkulation!P47*0,96/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;"");0)</t>
    </r>
  </si>
  <si>
    <r>
      <t xml:space="preserve"> NEU: =WENNFEHLER(WENN('B2_Allgemeine Angaben'!$L$47&gt;0;B2_Gesamtkalkulation!R51*0,96/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;"");0)</t>
    </r>
  </si>
  <si>
    <r>
      <t>NEU: =WENNFEHLER(WENN('B2_Allgemeine Angaben'!$L$47&gt;0;B2_Gesamtkalkulation!T51*0,96/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;"");0)</t>
    </r>
  </si>
  <si>
    <t>Form der Kurzzeitpflege:</t>
  </si>
  <si>
    <t>solitär</t>
  </si>
  <si>
    <t>angebunden</t>
  </si>
  <si>
    <t>A10:A11</t>
  </si>
  <si>
    <t>solitär// angebunden - Liste für DropDown</t>
  </si>
  <si>
    <t>Neu: angebundene/ integrierte Kurzzeitpflege:</t>
  </si>
  <si>
    <t>Zeile 8</t>
  </si>
  <si>
    <t>neu eingefügt</t>
  </si>
  <si>
    <t>D8</t>
  </si>
  <si>
    <t>H8:K8</t>
  </si>
  <si>
    <t>DropDown-Feld</t>
  </si>
  <si>
    <t>bedingt formatiert, Anzeige nur, wenn Einrichtungsart KZP gewählt wurde</t>
  </si>
  <si>
    <t>Plausi-Neu: =WENN(UND(D7="kzp";H8="");"Bitte Form der Kurzzeitpflege angeben.";"")</t>
  </si>
  <si>
    <t>Für die Bewertung der Auslastung der KZP ist eine Differenzierung zw. solitär und angebunden notw. Eine weitere PlausiÜrüfung im TAB B2_Kalkulation ist nicht erforderlich.</t>
  </si>
  <si>
    <t>D8:K8</t>
  </si>
  <si>
    <t>J9</t>
  </si>
  <si>
    <t>O19</t>
  </si>
  <si>
    <t>NEU: Relationen  angebundene/ integrierte KZP</t>
  </si>
  <si>
    <t>alt: Relationen  angebundene KZP</t>
  </si>
  <si>
    <t>Alt =WENN('B2_Allgemeine Angaben'!K45&lt;14,01;10;WENN('B2_Allgemeine Angaben'!K45&lt;26,01;12;24))</t>
  </si>
  <si>
    <t>NEU =WENN('B2_Allgemeine Angaben'!K45-3&gt;24;24;B2_Allgemeine Angaben'!K45-3)</t>
  </si>
  <si>
    <t>UAG 12.06.2023: Abstimmung - Monatsdifferenz zw. Zulassungsbeginn und PSV-LZ-Beginn minus 3 KM, aber max. 24 letzten KM sind als Belegung anzugeben</t>
  </si>
  <si>
    <t>Platzzahl der angebundenen / integrierte Kurzzeitpflege lt. Versorgungsvertrag</t>
  </si>
  <si>
    <t>Relationen  angebundene / integrierte KZP</t>
  </si>
  <si>
    <t>Belegung für angebundene / integrierte KZP:</t>
  </si>
  <si>
    <t>geforderte Pflegesätze für die angebundene / integrierte Kurzzeitpflege (KZP):</t>
  </si>
  <si>
    <t>Vergütungszuschlag für angebundene / integrierte KZP:</t>
  </si>
  <si>
    <t>angebundene / integrierte KZP:</t>
  </si>
  <si>
    <t>B48</t>
  </si>
  <si>
    <t xml:space="preserve">gleiche Schreibweise: Freizeichen zw. angebundenen und integrierten </t>
  </si>
  <si>
    <t>L48</t>
  </si>
  <si>
    <t>gleiche Schreibweise in Datenübertragung - Eingabe- und Fehlermeldung</t>
  </si>
  <si>
    <t>B2 Kalkulation</t>
  </si>
  <si>
    <t>gleiche Schreibweise - ... angebundene / integrierte ....</t>
  </si>
  <si>
    <t>B28</t>
  </si>
  <si>
    <t>B24</t>
  </si>
  <si>
    <t>Plausi für IAP</t>
  </si>
  <si>
    <t>A1:N18</t>
  </si>
  <si>
    <t>SV-Beiträge 2023 + 2024 Prognose + Werte reg, En 2023 + 2024</t>
  </si>
  <si>
    <t>Bereich Pflegepartner</t>
  </si>
  <si>
    <t>Fachbereich Vertragsmanagement Pflege / HKP</t>
  </si>
  <si>
    <t>Team Verhandlung Pflege / HKP</t>
  </si>
  <si>
    <t>B2_Adressverzeichnis</t>
  </si>
  <si>
    <t>AOK PLUS Bezeichnung neu</t>
  </si>
  <si>
    <t>2024 (Prognose) - PSK 02.11.2024</t>
  </si>
  <si>
    <t>2023 - unverändert</t>
  </si>
  <si>
    <t>A102:C111</t>
  </si>
  <si>
    <t>B2_KAT</t>
  </si>
  <si>
    <t>SV-Beiträge  2024 Prognose - lt. PSK 02.11.2023</t>
  </si>
  <si>
    <t>L108</t>
  </si>
  <si>
    <t>17,90 € neu Fahrtkosten (bisher 17;00 €)</t>
  </si>
  <si>
    <t>B117; B140; B152; B164</t>
  </si>
  <si>
    <t>12,41 € Mindestlohn neu (Nichtpflege)</t>
  </si>
  <si>
    <t>Mindestlohn ohne Pflege</t>
  </si>
  <si>
    <t>A20:C22</t>
  </si>
  <si>
    <t>Mindestlöhne ohne Pflege 2022, 2024, 2025</t>
  </si>
  <si>
    <t>H139:I144</t>
  </si>
  <si>
    <t>Mindeslohn ohne Pflege</t>
  </si>
  <si>
    <t>Plausi für TAB 113c in TAB B2_Personalkostenübersicht - Anzeige nur wenn vst. + LZ ab 01.07.2023</t>
  </si>
  <si>
    <t>1. Bedingung</t>
  </si>
  <si>
    <t>2. Bedingung</t>
  </si>
  <si>
    <t>Ergebnis</t>
  </si>
  <si>
    <t>Erläuterung</t>
  </si>
  <si>
    <t>2 = vst</t>
  </si>
  <si>
    <t>2 = wenn LZ aktuell ab 01.07.2023</t>
  </si>
  <si>
    <t>wenn 1. + 2. Bedingung =2 dann wird Tbl. für § 113c im TAB Personalkostenübersicht eingeblendet</t>
  </si>
  <si>
    <t>I1:N5</t>
  </si>
  <si>
    <t>PlausiPrüfung für Tbl. 113c in TAB Personalkostenübersicht - für bedingte Formatierung</t>
  </si>
  <si>
    <t>Beschäftigungsgruppe</t>
  </si>
  <si>
    <t>mind. 3 Jahre Berufsausbildung</t>
  </si>
  <si>
    <t xml:space="preserve">Personalmengen nach § 113 c SGB XI </t>
  </si>
  <si>
    <t xml:space="preserve">VK nachrichtlich § 113 c Abs. 1 SGB XI </t>
  </si>
  <si>
    <t>Personalbemessungswerte gemäß § 113 c Abs. 1 SGB XI - MAX</t>
  </si>
  <si>
    <t>OHNE § 43 b Mitarbeiter und ohne zusätzliche PFK (§ 8 Abs. 6 SGB XI) und ohne zusätzliche PHK (§ 84 Abs. 9 SGB XI)</t>
  </si>
  <si>
    <t>Richtwerte</t>
  </si>
  <si>
    <t xml:space="preserve">PG 1 </t>
  </si>
  <si>
    <t xml:space="preserve">PFK/BFK </t>
  </si>
  <si>
    <t>§ 113 Abs. 1 XI ohne PDL lt. RV + ZV-Personal § 8 (6) + § 84 (9) SGB XI</t>
  </si>
  <si>
    <t>A110:S110</t>
  </si>
  <si>
    <t>B111:B116</t>
  </si>
  <si>
    <t>Datenübertragung angepasst: Auswahl nur PFK/BFK</t>
  </si>
  <si>
    <t xml:space="preserve">Beschäftigtes Personal aus Zusatzvereinbarung nach § 8 Abs. 6 SGB XI </t>
  </si>
  <si>
    <t>Zusatzpersonal aus § 8 (6) + § 84 (9) SGB XI</t>
  </si>
  <si>
    <t xml:space="preserve"> =SUMME(C22:C109;C111:C121)</t>
  </si>
  <si>
    <t>Formeln ohne Zeile  110</t>
  </si>
  <si>
    <t>Beschäftigtes Personal aus Zusatzvereinbarung nach § 84 Abs. 9 SGB XI</t>
  </si>
  <si>
    <t xml:space="preserve">Überschrift: Beschäftigtes Personal aus Zusatzvereinbarung nach § 8 Abs. 6 SGB XI, Zellen A:D verbunden,  </t>
  </si>
  <si>
    <t>Überschrift: Beschäftigtes Personal aus Zusatzvereinbarung nach § 84 Abs. 9 SGB XI, A:D verbunden, formatiert, Zellen gesperrt</t>
  </si>
  <si>
    <t>Abbildung IAP je Stellenumfang</t>
  </si>
  <si>
    <t>nach Spalte Q neue eingefügt für IAP</t>
  </si>
  <si>
    <t>Inflationsausgleichsprämie (IAP) - ZAHLBAR bis 31.12.2024</t>
  </si>
  <si>
    <t>R18</t>
  </si>
  <si>
    <t>R19</t>
  </si>
  <si>
    <t xml:space="preserve"> =SUMME(s22:s109;s111:s121)</t>
  </si>
  <si>
    <t>Formeln eingefügt IAP = €/M/VK</t>
  </si>
  <si>
    <t xml:space="preserve">Zeilen für IAP </t>
  </si>
  <si>
    <t>Abbildung IAP je Stelle sofern PFK/BFK, VK &gt;0; Grundentgelt &gt; 0</t>
  </si>
  <si>
    <t>Abbildung IAP je Stelle sofern PK/BK, VK &gt;0; Grundentgelt &gt; 1</t>
  </si>
  <si>
    <t>Abbildung IAP je Stelle sofern PK/BK o., VK &gt;0; Grundentgelt &gt; 2</t>
  </si>
  <si>
    <t>AN22:AN340</t>
  </si>
  <si>
    <t>AO22:AO340</t>
  </si>
  <si>
    <t>AP22:AP340</t>
  </si>
  <si>
    <t>Summe IAP für alle/ Summe aller VK = IAP/VK/M</t>
  </si>
  <si>
    <t xml:space="preserve"> =WENNFEHLER(RUNDEN(AN348*3/13/40+B359;2);0)</t>
  </si>
  <si>
    <t>B360</t>
  </si>
  <si>
    <t xml:space="preserve"> Abbildung einrichtungsindividuelles Entgeltniveau inkl. IAP</t>
  </si>
  <si>
    <t>VK gemäß. aktuellen Angaben                                         (inkl. Zusatzpersonal aus § 8 (6) + § 84 (9) SGB XI)</t>
  </si>
  <si>
    <t>VK je Berufsgruppe aus letzten Ergebniskalkulation - Erfassungsfelder J351:L351</t>
  </si>
  <si>
    <t>VK gemäß. aktuellen Angaben(inkl. Zusatzpersonal aus § 8 (6) + § 84 (9) SGB XI)</t>
  </si>
  <si>
    <t>I6:P17</t>
  </si>
  <si>
    <t>Berechnungstabelle § 113c SGB XI</t>
  </si>
  <si>
    <t>Werte werden aus KAT N15:O15 gezogen</t>
  </si>
  <si>
    <t xml:space="preserve"> =WENN(B360&gt;20,14*110%;"Forderung liegt über 10% des regional üblichen Entgeltes.";"")</t>
  </si>
  <si>
    <t xml:space="preserve">VK max. lt. § 113c SGB XI </t>
  </si>
  <si>
    <t>Hinweisfeld</t>
  </si>
  <si>
    <t>Datenübertragung angepasst: SV 20,850% mit U1 23,000 %</t>
  </si>
  <si>
    <t>Tabelle für Abbildung der VK Umfänge nach § 113c SGB XI, bedingt formatiert - Anzeige nur wenn vst. + LZ ab 01.07.2023</t>
  </si>
  <si>
    <t>Belegung zum Stichtag vom:</t>
  </si>
  <si>
    <t>N12:R14</t>
  </si>
  <si>
    <t>Tabelle für Abbildung Belegung zum Stichtag - bedingt formatiert Erfassung nur für vst PE</t>
  </si>
  <si>
    <t>Hilfstabelle  - bedingte Formatierung Zusatzpersonal auf TAB Personalausstattung</t>
  </si>
  <si>
    <t>1 bei KZP o vst. , ansonsten 2  - nur bei 1 werden Zeilen für Zusatzpersonal sichtbar auf Personalausstattung</t>
  </si>
  <si>
    <t>bedingt formatiert, Anzeige nur, wenn Einrichtungsart KZP oder vst gewählt wurde</t>
  </si>
  <si>
    <t>Anpassung der Formeln im Hintergrund ohne Zeile 110 + 223</t>
  </si>
  <si>
    <t>Personalmengen nach § 113c SGB XI</t>
  </si>
  <si>
    <t>B47:K47</t>
  </si>
  <si>
    <t>Mit Berücksichtigung der Inflationsausgleichsprämie ist für die nächste Vergütungsverhandlung die Nutzung eines pauschal vereinfachten Verhandlungsverfahrens grundsätzlich nicht möglich. - Text bedingt formatiert</t>
  </si>
  <si>
    <t>Die Zahlung der Inflationsausgleichsprämie an die Arbeitnehmer erfolgt bis zum 31.12.2024. - Text bedingt formatiert</t>
  </si>
  <si>
    <t>Tabelle für Abbildung der Berufsgruppen nach § 113c, Werte werden aus B2_Personalausstattung gezogen, bedingt formatiert nur für LE vst. mit LZ ab 01.07.2023</t>
  </si>
  <si>
    <t xml:space="preserve"> =WENN(H52&lt;DATWERT("31.12.2024");1;2)</t>
  </si>
  <si>
    <t>Vergütungsforderung</t>
  </si>
  <si>
    <t>Laufzeit:</t>
  </si>
  <si>
    <t>VK zum Stichtag:</t>
  </si>
  <si>
    <t xml:space="preserve"> =WENN(H52&lt;DATWERT("01.01.2025");1;2)</t>
  </si>
  <si>
    <t>Plausi für IAP - für bedingte Formatierung auf TAB B2_Personakostenaufstellung und Berechnung</t>
  </si>
  <si>
    <t xml:space="preserve"> Formel falsch =WENNFEHLER(N14-B2_Kalkulation!D25;0)</t>
  </si>
  <si>
    <t>N15</t>
  </si>
  <si>
    <t>Vorgaben § 113c bereits ohne PDL!</t>
  </si>
  <si>
    <t>J374</t>
  </si>
  <si>
    <t xml:space="preserve"> =KAT!N14</t>
  </si>
  <si>
    <t xml:space="preserve"> =KAT!O14</t>
  </si>
  <si>
    <t xml:space="preserve"> =KAT!P14</t>
  </si>
  <si>
    <t>K374</t>
  </si>
  <si>
    <t>L374</t>
  </si>
  <si>
    <t xml:space="preserve">Text korrigiert neu "Belegungstage - letzte" </t>
  </si>
  <si>
    <t>bisher: Belegungstage - letzten</t>
  </si>
  <si>
    <t>Spalte R  - alle Erfassungsfelder für einzelnen Mitarbeiter bedingt formatiert</t>
  </si>
  <si>
    <t>H8 + H10</t>
  </si>
  <si>
    <t>Text neu: Vergütungsforderung    Text neu: Laufzeit:</t>
  </si>
  <si>
    <t>Spalte S - Formel angepasst für alle Zeilen je Mitarbeiter</t>
  </si>
  <si>
    <t>Sicherstellung mit Ergänzung, dass IAP nur bei Forderungen mit einem LZ vor dem 01.01.2025 vereinbart werden können</t>
  </si>
  <si>
    <t>AN367:AP367</t>
  </si>
  <si>
    <r>
      <t xml:space="preserve">  Bsp. für Zeile 22 - Änderung in rot: =WENNFEHLER(WENN(A22&lt;&gt;"GfB";(SUMME(G22:J22;L22;P22)*12+(N22+O22))*(100+$J$12+$J$13)%+((K22+M22+Q22+R22*</t>
    </r>
    <r>
      <rPr>
        <sz val="10"/>
        <color rgb="FFFF0000"/>
        <rFont val="Arial"/>
        <family val="2"/>
      </rPr>
      <t>('B2_Allgemeine Angaben'!$L$53=1)</t>
    </r>
    <r>
      <rPr>
        <sz val="10"/>
        <color theme="1"/>
        <rFont val="Arial"/>
        <family val="2"/>
      </rPr>
      <t>)*12);(SUMME(G22:J22;L22;P22)*12+(N22+O22))*(100+$J$15+$J$13)%+((K22+M22+Q22+R22*</t>
    </r>
    <r>
      <rPr>
        <sz val="10"/>
        <color rgb="FFFF0000"/>
        <rFont val="Arial"/>
        <family val="2"/>
      </rPr>
      <t>('B2_Allgemeine Angaben'!$L$53=1)</t>
    </r>
    <r>
      <rPr>
        <sz val="10"/>
        <color theme="1"/>
        <rFont val="Arial"/>
        <family val="2"/>
      </rPr>
      <t>)*12));0)</t>
    </r>
  </si>
  <si>
    <r>
      <t xml:space="preserve"> Ergänzung der Formel in ROT: =WENNFEHLER(SUMME(AN366:AP366)</t>
    </r>
    <r>
      <rPr>
        <sz val="10"/>
        <color rgb="FFFF0000"/>
        <rFont val="Arial"/>
        <family val="2"/>
      </rPr>
      <t>*('B2_Allgemeine Angaben'!$L$53=1)</t>
    </r>
    <r>
      <rPr>
        <sz val="10"/>
        <color theme="1"/>
        <rFont val="Arial"/>
        <family val="2"/>
      </rPr>
      <t>/SUMME(AH366:AJ366);0)</t>
    </r>
  </si>
  <si>
    <t>Sicherstellung mit Ergänzung, dass IAP nur bei Forderungen mit einem LZ vor dem 01.01.2025 abgebildet werden in Zelle B379:F379</t>
  </si>
  <si>
    <t>Zeilen für § 8 Abs. 6 SGB XI - Mitarbeiter auf 12 Zeilen erweitert</t>
  </si>
  <si>
    <t>Zeilen für § 84 Abs. 9 SGB XI - Mitarbeiter erweitert auf 20 Zeilen</t>
  </si>
  <si>
    <t xml:space="preserve">wenn LZ Beginn ab 01.01.2025, ist eine Erfassung der IP nicht möglich, </t>
  </si>
  <si>
    <t xml:space="preserve">3,4 anstelle 2,4 </t>
  </si>
  <si>
    <t>Plausi-Feld für Stichtag</t>
  </si>
  <si>
    <t xml:space="preserve"> =WENN(Q12&gt;'B2_Allgemeine Angaben'!H52;"Stichtag bitte prüfen.";"")</t>
  </si>
  <si>
    <t>N10</t>
  </si>
  <si>
    <t>N11:Q11</t>
  </si>
  <si>
    <t xml:space="preserve"> =wennfehler(WENN(Q12&lt;DATUM(JAHR('B2_Allgemeine Angaben'!H52);MONAT('B2_Allgemeine Angaben'!H52)-3;TAG('B2_Allgemeine Angaben'!H52));"Stichtag, max. 3 Kalendermonate vor Laufzeitbeginn wählen.";"");"")</t>
  </si>
  <si>
    <t>Formeln ohne Zeile  223</t>
  </si>
  <si>
    <t>C128</t>
  </si>
  <si>
    <t>G128</t>
  </si>
  <si>
    <t>H128</t>
  </si>
  <si>
    <t>J128</t>
  </si>
  <si>
    <t>K128</t>
  </si>
  <si>
    <t>L128</t>
  </si>
  <si>
    <t>M128</t>
  </si>
  <si>
    <t>N128</t>
  </si>
  <si>
    <t>O128</t>
  </si>
  <si>
    <t>P128</t>
  </si>
  <si>
    <t>Q128</t>
  </si>
  <si>
    <t>R128</t>
  </si>
  <si>
    <t xml:space="preserve"> =WENNFEHLER(SUMME(G22:G109;G11:G116)/($C$128-SUMME($C$117:$C$121));0)</t>
  </si>
  <si>
    <t xml:space="preserve"> =WENNFEHLER(SUMME(H22:H109;H111:H116)/($C$128-SUMME($C$117:$C$121));0)</t>
  </si>
  <si>
    <t xml:space="preserve"> =WENNFEHLER(SUMME(J22:J109;J111:J116)/($C$128-SUMME($C$117:$C$121));0)</t>
  </si>
  <si>
    <t xml:space="preserve"> =WENNFEHLER(SUMME(K22:K109;K111:K116)/($C$128-SUMME($C$117:$C$121));0)</t>
  </si>
  <si>
    <t xml:space="preserve"> =WENNFEHLER(SUMME(L22:L109;L111:L116)/($C$128-SUMME($C$117:$C$121));0)</t>
  </si>
  <si>
    <t xml:space="preserve"> =WENNFEHLER(SUMME(M22:M109;M111:M116)/($C$128-SUMME($C$117:$C$121));0)</t>
  </si>
  <si>
    <t xml:space="preserve"> =WENNFEHLER(SUMME(N22:N109;N111:N116)/($C$128-SUMME($C$117:$C$121));0)</t>
  </si>
  <si>
    <t xml:space="preserve"> =WENNFEHLER(SUMME(O22:O109;O111:O116)/($C$128-SUMME($C$117:$C$121));0)</t>
  </si>
  <si>
    <t xml:space="preserve"> =WENNFEHLER(SUMME(P22:P109;P111:P116)/($C$128-SUMME($C$117:$C$121));0)</t>
  </si>
  <si>
    <t xml:space="preserve"> =WENNFEHLER(SUMME(Q22:Q109;Q111:Q116)/($C$128-SUMME($C$117:$C$121));0)</t>
  </si>
  <si>
    <t xml:space="preserve"> =WENNFEHLER(SUMME(r22:r109;r111:r116)/($C$128-SUMME($C$117:$C$121));0)</t>
  </si>
  <si>
    <t>S128</t>
  </si>
  <si>
    <t>A223:S223</t>
  </si>
  <si>
    <t>C244</t>
  </si>
  <si>
    <t xml:space="preserve"> =SUMME(C131:C222;C224:C243)</t>
  </si>
  <si>
    <t>I244</t>
  </si>
  <si>
    <t>J244</t>
  </si>
  <si>
    <t>K244</t>
  </si>
  <si>
    <t>L244</t>
  </si>
  <si>
    <t>M244</t>
  </si>
  <si>
    <t>N244</t>
  </si>
  <si>
    <t>O244</t>
  </si>
  <si>
    <t>P244</t>
  </si>
  <si>
    <t>Q244</t>
  </si>
  <si>
    <t>R244</t>
  </si>
  <si>
    <t>S244</t>
  </si>
  <si>
    <t>G244</t>
  </si>
  <si>
    <t>H244</t>
  </si>
  <si>
    <t xml:space="preserve"> =WENNFEHLER(SUMME(G131:G222;G224:G243)/$C$244;0)</t>
  </si>
  <si>
    <t xml:space="preserve"> =WENNFEHLER(SUMME(H131:H222;H224:H243)/$C$244;0)</t>
  </si>
  <si>
    <t xml:space="preserve"> =WENNFEHLER(SUMME(I131:I222;I224:I243)/$C$244;0)</t>
  </si>
  <si>
    <t xml:space="preserve"> =WENNFEHLER(SUMME(J131:J222;J224:J243)/$C$244;0)</t>
  </si>
  <si>
    <t xml:space="preserve"> =WENNFEHLER(SUMME(K131:K222;K224:K243)/$C$244;0)</t>
  </si>
  <si>
    <t xml:space="preserve"> =WENNFEHLER(SUMME(L131:L222;L224:L243)/$C$244;0)</t>
  </si>
  <si>
    <t xml:space="preserve"> =WENNFEHLER(SUMME(M131:M222;M224:M243)/$C$244;0)</t>
  </si>
  <si>
    <t xml:space="preserve"> =WENNFEHLER(SUMME(N131:N222;N224:N243)/$C$244;0)</t>
  </si>
  <si>
    <t xml:space="preserve"> =WENNFEHLER(SUMME(O131:O222;O224:O243)/$C$244;0)</t>
  </si>
  <si>
    <t xml:space="preserve"> =WENNFEHLER(SUMME(P131:P222;P224:P243)/$C$244;0)</t>
  </si>
  <si>
    <t xml:space="preserve"> =WENNFEHLER(SUMME(Q131:Q222;Q224:Q243)/$C$244;0)</t>
  </si>
  <si>
    <t xml:space="preserve"> =WENNFEHLER(SUMME(R131:R222;R224:R243)/$C$225;0)</t>
  </si>
  <si>
    <t xml:space="preserve"> =SUMME(s131:s222;s224:s243)</t>
  </si>
  <si>
    <t xml:space="preserve">Formeln ohne Zeile 110 + 223 in Tbl. PKL </t>
  </si>
  <si>
    <t xml:space="preserve"> =SUMME(U22:U109;U111:U222;U224:U243)</t>
  </si>
  <si>
    <t xml:space="preserve"> =SUMME(V22:V109;V111:V222;V224:V243)</t>
  </si>
  <si>
    <t xml:space="preserve"> =SUMME(W22:W109;W111:W222;W224:W243)</t>
  </si>
  <si>
    <t xml:space="preserve"> =SUMME(X22:X109;X111:X222;X224:X243)</t>
  </si>
  <si>
    <t xml:space="preserve"> =SUMME(Y22:Y109;Y111:Y222;Y224:Y243)</t>
  </si>
  <si>
    <t xml:space="preserve"> =SUMME(Z22:Z109;Z111:Z22;Z224:Z243)</t>
  </si>
  <si>
    <t xml:space="preserve"> =SUMME(AA22:AA109;AA111:AA222;AA224:AA243)</t>
  </si>
  <si>
    <t xml:space="preserve"> =SUMME(AB22:AB109;AB111:AB222;AB224:AB243)</t>
  </si>
  <si>
    <t xml:space="preserve"> =SUMME(AC22:AC109;AC111:AC222;AC224:AC243)</t>
  </si>
  <si>
    <t xml:space="preserve"> =SUMME(AD22:AD109;AD111:AD222;AD224:AD243)</t>
  </si>
  <si>
    <t xml:space="preserve"> =SUMME(AE22:AE109;AE111:AE222;AE224:AE243)</t>
  </si>
  <si>
    <t xml:space="preserve"> =SUMME(AF22:AF109;AF111:AF222;AF224:AF243)</t>
  </si>
  <si>
    <t xml:space="preserve"> =SUMME(AG22:AG109;AG111:AG222;AG224:AG243)</t>
  </si>
  <si>
    <t xml:space="preserve"> =SUMME(AH22:AH109;AH111:AH222;AH224:AH243)</t>
  </si>
  <si>
    <t xml:space="preserve"> =SUMME(AI22:AI109;AI111:AI222;AI224:AI243)</t>
  </si>
  <si>
    <t xml:space="preserve"> =SUMME(AJ22:AJ109;AJ111:AJ222;AJ224:AJ243)</t>
  </si>
  <si>
    <t xml:space="preserve"> =SUMME(AK22:AK109;AK111:AK222;AK224:AK243)</t>
  </si>
  <si>
    <t xml:space="preserve"> =SUMME(AL22:AL109;AL111:AL222;AL224:AL243)</t>
  </si>
  <si>
    <t>Spalte AN : AP</t>
  </si>
  <si>
    <t>R128; R244;R246;R265;R294</t>
  </si>
  <si>
    <t>Summe PFK/BFK für IAP ohne Zeile 110 + 223</t>
  </si>
  <si>
    <t>Summe PK/BK für IAP ohne Zeile 110 + 223</t>
  </si>
  <si>
    <t>Summe PK/BK o.für IAP ohne Zeile 110 + 223</t>
  </si>
  <si>
    <t>U366</t>
  </si>
  <si>
    <t>Formeln in Zeile 366 angepasst</t>
  </si>
  <si>
    <t>V366</t>
  </si>
  <si>
    <t>W366</t>
  </si>
  <si>
    <t>X366</t>
  </si>
  <si>
    <t>Y366</t>
  </si>
  <si>
    <t>Z366</t>
  </si>
  <si>
    <t>AA366</t>
  </si>
  <si>
    <t>AB366</t>
  </si>
  <si>
    <t>AC366</t>
  </si>
  <si>
    <t>AD366</t>
  </si>
  <si>
    <t>AE366</t>
  </si>
  <si>
    <t>AF366</t>
  </si>
  <si>
    <t>AG366</t>
  </si>
  <si>
    <t>AH366</t>
  </si>
  <si>
    <t>AI366</t>
  </si>
  <si>
    <t>AJ366</t>
  </si>
  <si>
    <t>AK366</t>
  </si>
  <si>
    <t>AL366</t>
  </si>
  <si>
    <t>AO367</t>
  </si>
  <si>
    <t>AP367</t>
  </si>
  <si>
    <t>AN367</t>
  </si>
  <si>
    <t>AN368:AP368</t>
  </si>
  <si>
    <t>A379:F379</t>
  </si>
  <si>
    <t>H365:L374</t>
  </si>
  <si>
    <t>H370:L370</t>
  </si>
  <si>
    <t>H372:L372</t>
  </si>
  <si>
    <t>H374:L374</t>
  </si>
  <si>
    <t>J374:L374</t>
  </si>
  <si>
    <t>G379</t>
  </si>
  <si>
    <t>A110:T122</t>
  </si>
  <si>
    <t>A223:T243</t>
  </si>
  <si>
    <t>B48:K48</t>
  </si>
  <si>
    <t>J21:L23</t>
  </si>
  <si>
    <t>Belegungstage - letzte</t>
  </si>
  <si>
    <t>Q13-T13 -</t>
  </si>
  <si>
    <t xml:space="preserve"> Format Datum</t>
  </si>
  <si>
    <t>" Belegungstage - letzte "   (n von Wort "letzten" gestrichen)</t>
  </si>
  <si>
    <t>Schreibschutz entfernt</t>
  </si>
  <si>
    <t>J370 : L370</t>
  </si>
  <si>
    <t>Plausi f. bedingte Formatierung FKQ-Anzeige TAB Kalk.</t>
  </si>
  <si>
    <t>A14:C15</t>
  </si>
  <si>
    <t>Plausi-Tbl. eingefügt für bedingte Formatierung - Anzeige FKQ für TP +KZP</t>
  </si>
  <si>
    <t>B26, H26</t>
  </si>
  <si>
    <t>a.) KZP + TP = 1</t>
  </si>
  <si>
    <t>b.) vst mit angebundener KZP = 2</t>
  </si>
  <si>
    <t>c.) sofern weder a noch b gilt dann = 0</t>
  </si>
  <si>
    <t>Formel:  =WENN(KAT!A18=2;"FKQ Pflege - integr./angebundene KZP";WENN(KAT!A18=1;"FKQ Pflege";""))</t>
  </si>
  <si>
    <t>C26, I26</t>
  </si>
  <si>
    <t xml:space="preserve">bedingt formatiert: wenn vst. ohne integr./angebundene KZP (KATA18=) dann weiße Schrift und Füllfarbe </t>
  </si>
  <si>
    <t>neue Zeile nach Zeile 27 eingefügt</t>
  </si>
  <si>
    <t>Platz für Abbildung des Anteils der PFK/BFK nach § 113c Abs. 1 Nr. 3 SGB XI</t>
  </si>
  <si>
    <t>Anteil der PFK/BFK in Höhe von:</t>
  </si>
  <si>
    <t>von der max. mögl. Personalausstattung nach § 113 c Abs. 1 Nr. 3 SGB XI</t>
  </si>
  <si>
    <t>Erfassungsfeld für %</t>
  </si>
  <si>
    <t>H28 + B28</t>
  </si>
  <si>
    <t>I28 + C28</t>
  </si>
  <si>
    <t>Text: Anteil der PFK/BFK in Höhe von:</t>
  </si>
  <si>
    <t>D28:F28 + J28:L28</t>
  </si>
  <si>
    <t>Text:von der max. mögl. Personalausstattung nach § 113 c Abs. 1 Nr. 3 SGB XI</t>
  </si>
  <si>
    <t>B28;D28:F28;H28;J28:L28</t>
  </si>
  <si>
    <t>bedingt formatiert, sofern vst. PE, dann Anzeige Text, ansonsten leer</t>
  </si>
  <si>
    <t xml:space="preserve">bedingt formatiert, sofern vst. PE dann Erfassungsfeld, ansonsten grau </t>
  </si>
  <si>
    <t>Berechnung VK-Anteile nach § 113c  SGB XI</t>
  </si>
  <si>
    <t>PDL_Anteil lt. Rahmenvertrag:</t>
  </si>
  <si>
    <t>von (Platzzahl)</t>
  </si>
  <si>
    <t>bis (Platzzahl)</t>
  </si>
  <si>
    <t>&lt; 151</t>
  </si>
  <si>
    <t>Ergebnis_PDL_VK für PE vst.</t>
  </si>
  <si>
    <t>Belegungsprognose</t>
  </si>
  <si>
    <t>PFK/BFK lt. Belegung</t>
  </si>
  <si>
    <t>PK/BK lt. Belegung</t>
  </si>
  <si>
    <t>PK/BK o. lt. Belegung</t>
  </si>
  <si>
    <t>PK/BK - § 113c Abs. 1 SGB XI - je HB</t>
  </si>
  <si>
    <t>PFK/BFK - § 113c Abs. 1 SGB XI - je HB</t>
  </si>
  <si>
    <t>PK/BK o.- § 113c Abs. 1 SGB XI -  je HB</t>
  </si>
  <si>
    <r>
      <rPr>
        <b/>
        <sz val="10"/>
        <rFont val="Arial"/>
        <family val="2"/>
      </rPr>
      <t xml:space="preserve">Berechnung der max. Personalanhaltswerte nach § 113 c Abs. 1 SGB XI in VK - </t>
    </r>
    <r>
      <rPr>
        <b/>
        <sz val="10"/>
        <color rgb="FFFF0000"/>
        <rFont val="Arial"/>
        <family val="2"/>
      </rPr>
      <t>Belegungsprognose</t>
    </r>
  </si>
  <si>
    <t>MAX § 113c Abs. 1 SGB XI</t>
  </si>
  <si>
    <t>AQ:AS</t>
  </si>
  <si>
    <t>Spalten für Berechnung VK Anteile nach § 113c SGB XI in Fkt.-Bereichen Pflege + Betreuung</t>
  </si>
  <si>
    <t>AQ22:AQ122</t>
  </si>
  <si>
    <t>Abbildung aller PFK in VK inkl. PDL, stv. PDL</t>
  </si>
  <si>
    <t>AQ131:AQ264</t>
  </si>
  <si>
    <t>Abbildung aller PFK in VK</t>
  </si>
  <si>
    <t>AR131:AR243 + AR250:AR264</t>
  </si>
  <si>
    <t>Abbildung der VK der PK/BK</t>
  </si>
  <si>
    <t>AS131:AS243 + AS250:AS264</t>
  </si>
  <si>
    <t>Abbildung der VK der PK/BK o.</t>
  </si>
  <si>
    <t>AQ366</t>
  </si>
  <si>
    <t>AR366</t>
  </si>
  <si>
    <t>AS366</t>
  </si>
  <si>
    <t>Formel:  =WENN(SUMME(AQ250:AQ264;AQ22:AQ109;AQ111:AQ122)=0;0;SUMME(AQ250:AQ264;AQ22:AQ122)-AW23)</t>
  </si>
  <si>
    <t>Formel: =SUMME(AR250:AR264;AR131:AR222;AR224:AR243)</t>
  </si>
  <si>
    <t>Formel:=SUMME(AS250:AS264;AS131:AS222;AS224:AS243)</t>
  </si>
  <si>
    <t>Anteil der Pflege- und Betreuungsfachkräfte in Höhe von:</t>
  </si>
  <si>
    <t xml:space="preserve"> von der maximal möglichen Personalausstattung nach § 113 c Abs. 1 Nr. 3 SGB XI.</t>
  </si>
  <si>
    <t>Zeilen eingefügt nach 266</t>
  </si>
  <si>
    <t>Text: Anteil der Pflege- und Betreuungsfachkräfte in Höhe von:</t>
  </si>
  <si>
    <t>D267</t>
  </si>
  <si>
    <t>Text:  von der maximal möglichen Personalausstattung nach § 113 c Abs. 1 Nr. 3 SGB XI.</t>
  </si>
  <si>
    <t>C267</t>
  </si>
  <si>
    <t>Formel: =WENNFEHLER(AQ367/AW35;"")</t>
  </si>
  <si>
    <t>A267</t>
  </si>
  <si>
    <t>bedingt formatiert, Anzeige nur bei vst. PE</t>
  </si>
  <si>
    <t>A267 + D267 + C267</t>
  </si>
  <si>
    <t>D248</t>
  </si>
  <si>
    <t>Text (Fachkraftquote) durch Formel ersetzt</t>
  </si>
  <si>
    <t>C248:F248</t>
  </si>
  <si>
    <t>bedingt formatiert, leer - keinen Rahmen bei vst. PE o. angebundene/ integr. KZP</t>
  </si>
  <si>
    <t>neuer Name</t>
  </si>
  <si>
    <t>B2_Gesamtkalkulation bis 2024</t>
  </si>
  <si>
    <t>B2_Gesamtkalkulation ab 2025</t>
  </si>
  <si>
    <t>neuer TAB</t>
  </si>
  <si>
    <t>B2_Gesamtkalkulation ab 2025 mit neuen Leistungsbeträgen ab 2025</t>
  </si>
  <si>
    <t>H22</t>
  </si>
  <si>
    <t xml:space="preserve">bish. Text ersetzt mit Formel =  =WENN(KAT!A18=2;"FKQ Pflege integr./angebundene KZP:";WENN(KAT!A18=1;"FKQ Pflege";"")) </t>
  </si>
  <si>
    <t>Formel angepasst: =WENN(KAT!A18=0;"";B2_Kalkulation!I26), wenn reine vst. PE ohne integr./angebundene KZP dann Feld leer</t>
  </si>
  <si>
    <t>Anteil PFK/BFK in Höhe von</t>
  </si>
  <si>
    <t>von der maximal möglichen Personalausstattung nach § 113 c Abs. 1 Nr. 3 SGB XI.</t>
  </si>
  <si>
    <t xml:space="preserve"> Formel:  =WENN(KAT!A18=0;"";"Fachkraftquote")</t>
  </si>
  <si>
    <t>Text: Anteil PFK/BFK in Höhe von</t>
  </si>
  <si>
    <t>I24:I25</t>
  </si>
  <si>
    <t>Text: von der maximal möglichen Personalausstattung nach § 113 c Abs. 1 Nr. 3 SGB XI.</t>
  </si>
  <si>
    <t>K24:L25</t>
  </si>
  <si>
    <t xml:space="preserve"> Formel: =WENNFEHLER(B2_Personalkostenübersicht!C267;"")</t>
  </si>
  <si>
    <t>J24</t>
  </si>
  <si>
    <t>I24:L25</t>
  </si>
  <si>
    <t>bedingt formatiert, Schriftfarbe schwarz bei vst. PE, ansonsten weiß/grau - und damit leer</t>
  </si>
  <si>
    <t>B47:K48</t>
  </si>
  <si>
    <t>bedingte Formatierung: gleiche Schriftfarbe wie Füllefarbe sofern, keine IAP vereinbart wird</t>
  </si>
  <si>
    <t>neue Zeile nach 42</t>
  </si>
  <si>
    <t>B42</t>
  </si>
  <si>
    <t>Text neu: Einrichtung  (Preise bis 2024)</t>
  </si>
  <si>
    <t>Einrichtung (Preise ab 2025)</t>
  </si>
  <si>
    <t>B62:F62</t>
  </si>
  <si>
    <t>Zeilen nach 62 eingefügt</t>
  </si>
  <si>
    <t>I62:K62</t>
  </si>
  <si>
    <t xml:space="preserve">Bezug zu Preisen aus TAB B2_Gesamtkalkulation ab 2025 </t>
  </si>
  <si>
    <t>geforderte Pflegesätze ab 2025:</t>
  </si>
  <si>
    <t>Vergütungszuschlag ab 2025 für:</t>
  </si>
  <si>
    <t>Text: geforderte Pflegesätze ab 2025:</t>
  </si>
  <si>
    <t>Text: Vergütungszuschlag bis 2025 für:</t>
  </si>
  <si>
    <t>B623:F63 + H62+K63</t>
  </si>
  <si>
    <t>B63:F63 + H63+K63</t>
  </si>
  <si>
    <t>Zeile 43</t>
  </si>
  <si>
    <t>T248</t>
  </si>
  <si>
    <t>Formel =T247*(100+$S$8)%*(100+$S$9)%</t>
  </si>
  <si>
    <t>Personalkosten inkl. Personalnebenkosten/Unternehmerrisiko</t>
  </si>
  <si>
    <t>O249</t>
  </si>
  <si>
    <t>Text durch "Personalkosten inkl. Personalnebenkosten/Unternehmerrisiko" ersetzt</t>
  </si>
  <si>
    <t>O129, O245, O249</t>
  </si>
  <si>
    <t>O245</t>
  </si>
  <si>
    <t>Personalkosten PFK inkl. Personalnebenkosten/Unternehmerrisiko</t>
  </si>
  <si>
    <t>Text durch "Personalkosten PFK inkl. Personalnebenkosten/Unternehmerrisiko" ersetzt</t>
  </si>
  <si>
    <t>Text durch "Personalkosten PHK inkl. Personalnebenkosten/Unternehmerrisiko" ersetzt</t>
  </si>
  <si>
    <t>Text durch "Personalkosten Pflegekräfte inkl. Personalnebenkosten/Unternehmerrisiko" ersetzt</t>
  </si>
  <si>
    <t>P266, P296, P329, P362</t>
  </si>
  <si>
    <t>I21:L25</t>
  </si>
  <si>
    <t>Bedingte Formatierung angepasst (nur sichtbar bei "vst") (insgesamt 3 Bedingungen)</t>
  </si>
  <si>
    <t>I28</t>
  </si>
  <si>
    <t>Format angepasst (2 Nachkommastellen)</t>
  </si>
  <si>
    <t>B28:F28</t>
  </si>
  <si>
    <t>L55</t>
  </si>
  <si>
    <t>Formel =WENN(H54&lt;DATWERT("01.05.2024");1;2)</t>
  </si>
  <si>
    <t>C28</t>
  </si>
  <si>
    <t>Formel =WENNFEHLER(B2_Personalkostenübersicht!C267;""), Format angepasst (2 Nachkommastellen, Zelle gesperrt, grauer Hintergrund)</t>
  </si>
  <si>
    <t>I26</t>
  </si>
  <si>
    <t>Formel =WENNFEHLER(B2_Personalkostenübersicht!C248;""), Format angepasst (Zelle gesperrt, grauer Hintergrund)</t>
  </si>
  <si>
    <t>K21</t>
  </si>
  <si>
    <t>K22</t>
  </si>
  <si>
    <t>N21</t>
  </si>
  <si>
    <t>Formel =J26*0,2/100</t>
  </si>
  <si>
    <t>N22</t>
  </si>
  <si>
    <t>Formel =J27*0,2/100</t>
  </si>
  <si>
    <t>H23</t>
  </si>
  <si>
    <r>
      <t>Anpassung Formel =WENN(</t>
    </r>
    <r>
      <rPr>
        <b/>
        <sz val="10"/>
        <color theme="1"/>
        <rFont val="Arial"/>
        <family val="2"/>
      </rPr>
      <t>ODER(</t>
    </r>
    <r>
      <rPr>
        <sz val="10"/>
        <color theme="1"/>
        <rFont val="Arial"/>
        <family val="2"/>
      </rPr>
      <t>KAT!A18=0;</t>
    </r>
    <r>
      <rPr>
        <b/>
        <sz val="10"/>
        <color theme="1"/>
        <rFont val="Arial"/>
        <family val="2"/>
      </rPr>
      <t>KAT!A18=2)</t>
    </r>
    <r>
      <rPr>
        <sz val="10"/>
        <color theme="1"/>
        <rFont val="Arial"/>
        <family val="2"/>
      </rPr>
      <t>;"";B2_Kalkulation!I26)</t>
    </r>
  </si>
  <si>
    <t>Hinweisfelder hervorheben</t>
  </si>
  <si>
    <t>(Felder mit Hinweisen und Fehlermeldungen werden blau (="ja") bzw. weiß (="nein") hinterlegt</t>
  </si>
  <si>
    <t>allgemein</t>
  </si>
  <si>
    <r>
      <t xml:space="preserve">Namen </t>
    </r>
    <r>
      <rPr>
        <i/>
        <sz val="10"/>
        <color theme="1"/>
        <rFont val="Arial"/>
        <family val="2"/>
      </rPr>
      <t>pnk, risiko</t>
    </r>
    <r>
      <rPr>
        <sz val="10"/>
        <color theme="1"/>
        <rFont val="Arial"/>
        <family val="2"/>
      </rPr>
      <t xml:space="preserve"> und </t>
    </r>
    <r>
      <rPr>
        <i/>
        <sz val="10"/>
        <color theme="1"/>
        <rFont val="Arial"/>
        <family val="2"/>
      </rPr>
      <t>divisor</t>
    </r>
    <r>
      <rPr>
        <sz val="10"/>
        <color theme="1"/>
        <rFont val="Arial"/>
        <family val="2"/>
      </rPr>
      <t xml:space="preserve"> gelöscht (waren bereits nicht mehr funktionsfähig)</t>
    </r>
  </si>
  <si>
    <t>Auswahl (ja, nein) hinzugefügt, um Hinweisfelder farblich zu hinterlegen; entsprechende bedingte Formatierungen in den betreffenden Tabellenblättern ergänzt</t>
  </si>
  <si>
    <t>A176,A177,B178</t>
  </si>
  <si>
    <t>bedingte Formatierung: Ausgeblendet bei Vereinbarungsbeginn der Vorvereinbarung vor dem 01.05.2024</t>
  </si>
  <si>
    <t>AQ244:AS244</t>
  </si>
  <si>
    <t>Formel = Summe PFK, PK, PK o. hinzugefügt</t>
  </si>
  <si>
    <t>AQ265:AS265</t>
  </si>
  <si>
    <t>Formel = Summe BFK, BK, BK o. hinzugefügt</t>
  </si>
  <si>
    <t>Formel =WENN(UND(SUMME(B2_Personalkostenübersicht!AQ244:AS244)&gt;J26-N21;SUMME(B2_Personalkostenübersicht!AQ244:AS244)&lt;J26+N21);"";"Pflege-Personalrelationen bitte prüfen - es besteht keine Plausibilität")</t>
  </si>
  <si>
    <t>Formel =WENN(UND(SUMME(B2_Personalkostenübersicht!AQ265:AS265)&gt;J27-N22;SUMME(B2_Personalkostenübersicht!AQ265:AS265)&lt;J27+N22);"";"Betreuungs-Personalrelation bitte prüfen - es besteht keine Plausibilität")</t>
  </si>
  <si>
    <t>A5</t>
  </si>
  <si>
    <t>angepasst auf 22.08.2024</t>
  </si>
  <si>
    <t xml:space="preserve">alle TAB </t>
  </si>
  <si>
    <t>Fußzeilen angepasst</t>
  </si>
  <si>
    <t>STD_VG_PFK</t>
  </si>
  <si>
    <t>STD_VG_PHK_mit Ausbildung</t>
  </si>
  <si>
    <t>STD_VG_ohne Ausbildung</t>
  </si>
  <si>
    <t>STD_VG_einr.ind.Egniveu</t>
  </si>
  <si>
    <t>VK_PFK</t>
  </si>
  <si>
    <t>VK_PHK_mit Ausbildung</t>
  </si>
  <si>
    <t>VK_PHK_ohne Ausbildung</t>
  </si>
  <si>
    <t>GES_VG_PFK</t>
  </si>
  <si>
    <t>GES_VG_PHK_mit Ausbildung</t>
  </si>
  <si>
    <t>GES_VG_PHK_ohne Ausbildung</t>
  </si>
  <si>
    <t>V373:AE378</t>
  </si>
  <si>
    <t>Hilfstabelle für Administration, alle Werte GVWG (B373; C373; E373;B379;B375;C375;E375;B381;C381;E381) für 3 Berufsgruppen zusammengefasst</t>
  </si>
  <si>
    <t>Hyperlink</t>
  </si>
  <si>
    <t>Name und Bezug korrigiert</t>
  </si>
  <si>
    <t xml:space="preserve"> =WENN(ODER(UND(SUMME(B2_Personalkostenübersicht!AQ244:AS244)&gt;J26-N21;SUMME(B2_Personalkostenübersicht!AQ244:AS244)&lt;J26+N21);J26=0);"";"Pflege-Personalrelationen bitte prüfen - es besteht keine Plausibilität")</t>
  </si>
  <si>
    <t>KB2_Kalkulation</t>
  </si>
  <si>
    <t xml:space="preserve"> =WENN(ODER(UND(SUMME(B2_Personalkostenübersicht!AQ265:AS265)&gt;J27-N22;SUMME(B2_Personalkostenübersicht!AQ265:AS265)&lt;J27+N22);J27=0);"";"Betreuungs-Personalrelation bitte prüfen - es besteht keine Plausibilität")</t>
  </si>
  <si>
    <t>Vereinfachtes Verfahren der Aufforderung zum Abschluss einer Pflegesatzvereinbarung gemäß § 84, 85 SGB XI</t>
  </si>
  <si>
    <t>B2 Hinweise</t>
  </si>
  <si>
    <t>Hinweise abgestimmt in PSK v. 26.08.2024 eingefügt</t>
  </si>
  <si>
    <t>Vereinfachtes Verfahren der Aufforderung zum Abschluss einer Pflegesatzvereinbarung gemäß § 84, 85 SGB XI (Stand 31.10.2024)</t>
  </si>
  <si>
    <t>A1:M18</t>
  </si>
  <si>
    <t>(Stand 31.10.2024)</t>
  </si>
  <si>
    <t>2025 (Prognose) - PSK 07.11.2024 +Info BMG 11.11.2024 zur PV</t>
  </si>
  <si>
    <t>B2_Kat</t>
  </si>
  <si>
    <t>B104;C104</t>
  </si>
  <si>
    <t>17,2 und 8,6</t>
  </si>
  <si>
    <t>B107; C107</t>
  </si>
  <si>
    <t>3,6 ; 1,3</t>
  </si>
  <si>
    <t>Datenüberprüfung: Text 21,200% o. U1, 23,350% m. U1</t>
  </si>
  <si>
    <t>B117;B140;B152;B164</t>
  </si>
  <si>
    <t>12,82 (Mindestlohn ab 01.01.2025)</t>
  </si>
  <si>
    <t>PSK 07.11.2024</t>
  </si>
  <si>
    <t>Beförderung intern (Preis):</t>
  </si>
  <si>
    <t>Beförderung extern (Preis):</t>
  </si>
  <si>
    <t>Ergebnis PSK 07.11.2024</t>
  </si>
  <si>
    <t>Ergebnis PSK 07.11.2022</t>
  </si>
  <si>
    <t>Ergebnis PSK 07.11.2023</t>
  </si>
  <si>
    <t>I108:L108</t>
  </si>
  <si>
    <t>Beförderung intern (Preis): 18,50 €</t>
  </si>
  <si>
    <t>I109:L109</t>
  </si>
  <si>
    <t>Beförderung extern (Preis): 21,00 €</t>
  </si>
  <si>
    <t>Dateneingabe: M36&lt;Kat!L110+0,001%, Text: Ford. liegt über max. Steigerungsrate (3,50%).;bedingte Formatierung angepasst</t>
  </si>
  <si>
    <t>Dateneingabe: M36&lt;Kat!L111+0,001%, Text: Ford. liegt über max. Steigerungsrate (5,00%).;bedingte Formatierung angepasst</t>
  </si>
  <si>
    <t>Berechnungsfeld für Fahrtkostensteigerung in B2_Kalkulation K19 + Plausifeld in L20</t>
  </si>
  <si>
    <t>Prüf-KZ</t>
  </si>
  <si>
    <t>Steig. lt. Ford.</t>
  </si>
  <si>
    <t>Begrenzung Ford. auf Max</t>
  </si>
  <si>
    <t>Ford. &lt; als Max.Wert</t>
  </si>
  <si>
    <t>Text für Plausifeld B2_Kalk in L20</t>
  </si>
  <si>
    <t>K19</t>
  </si>
  <si>
    <t>DropDown: Kat!I108:Kat!109</t>
  </si>
  <si>
    <t>Beförderung bis max. 18,50 € vereinbar.</t>
  </si>
  <si>
    <t>Beförderung bis max. 21,00 € vereinbar.</t>
  </si>
  <si>
    <t>Beförderung intern (Preis) = 1 (Prüf-KZ)</t>
  </si>
  <si>
    <t>Beförderung extern (Preis): = 2 (Prüf-KZ)</t>
  </si>
  <si>
    <t>Ergebnis - wenn KZ = 1, dann max. 18,50€, wenn KZ = 2, dann max. 21,00 €</t>
  </si>
  <si>
    <t>P99:W104</t>
  </si>
  <si>
    <t>Hilfstabelle für Plausifeld (B2_Kalk L20) + Berechnung der Fahrtkosten unter Berücksichtigung der max. Werte differenziert nach interne / externe Beförderung</t>
  </si>
  <si>
    <t xml:space="preserve"> =WENN(M19&lt;&gt;0;KAT!R103;"")</t>
  </si>
  <si>
    <t>L19</t>
  </si>
  <si>
    <t xml:space="preserve"> =WENN(M19&lt;&gt;0;KAT!T103;"")</t>
  </si>
  <si>
    <t>L20</t>
  </si>
  <si>
    <t>Spalte S</t>
  </si>
  <si>
    <t>Spalte R</t>
  </si>
  <si>
    <r>
      <t xml:space="preserve"> Formel alt mit IAP: =WENNFEHLER(WENN(A22&lt;&gt;"GfB";(SUMME(G22:J22;L22;P22)*12+(N22+O22))*(100+$J$12+$J$13)%+((K22+M22+Q22</t>
    </r>
    <r>
      <rPr>
        <sz val="10"/>
        <color rgb="FFFF0000"/>
        <rFont val="Arial"/>
        <family val="2"/>
      </rPr>
      <t>+R22*('B2_Allgemeine Angaben'!$L$53=1</t>
    </r>
    <r>
      <rPr>
        <sz val="10"/>
        <color theme="1"/>
        <rFont val="Arial"/>
        <family val="2"/>
      </rPr>
      <t>))*12);(SUMME(G22:J22;L22;P22)*12+(N22+O22))*(100+$J$15+$J$13)%+((K22+M22+Q22</t>
    </r>
    <r>
      <rPr>
        <sz val="10"/>
        <color rgb="FFFF0000"/>
        <rFont val="Arial"/>
        <family val="2"/>
      </rPr>
      <t>+R22*('B2_Allgemeine Angaben'!$L$53=1</t>
    </r>
    <r>
      <rPr>
        <sz val="10"/>
        <color theme="1"/>
        <rFont val="Arial"/>
        <family val="2"/>
      </rPr>
      <t>))*12));0)</t>
    </r>
  </si>
  <si>
    <t>Formel v. G380 in G380</t>
  </si>
  <si>
    <r>
      <t xml:space="preserve"> =WENN(B379&gt;</t>
    </r>
    <r>
      <rPr>
        <sz val="10"/>
        <color rgb="FF00B0F0"/>
        <rFont val="Arial"/>
        <family val="2"/>
      </rPr>
      <t>21,55</t>
    </r>
    <r>
      <rPr>
        <sz val="10"/>
        <color theme="1"/>
        <rFont val="Arial"/>
        <family val="2"/>
      </rPr>
      <t>*110%;"Forderung liegt über 10% des regional üblichen Entgeltes.";"")</t>
    </r>
  </si>
  <si>
    <t>A380:G380</t>
  </si>
  <si>
    <t>ohne Inhalt (Angaben zu reg. En. gelöscht)</t>
  </si>
  <si>
    <t>Spalte AN:AP</t>
  </si>
  <si>
    <t>Berechnungen zur IAP gelöscht</t>
  </si>
  <si>
    <t>Inflationsausgleichsprämie - Spalten gelöscht</t>
  </si>
  <si>
    <t>Bish. Formeln von Spalte S jetzt in Spalte R</t>
  </si>
  <si>
    <t>Formeln o. IAP =WENNFEHLER(WENN(A22&lt;&gt;"GfB";(SUMME(G22:J22;L22;P22)*12+(N22+O22))*(100+$J$12+$J$13)%+((K22+M22+Q22)*12);(SUMME(G22:J22;L22;P22)*12+(N22+O22))*(100+$J$15+$J$13)%+((K22+M22+Q22)*12));0)</t>
  </si>
  <si>
    <t>R22:R109;R111:R122;R131:R222;R224:R243;R250:R264;R270:R294;R298:R327;R221:R360</t>
  </si>
  <si>
    <t>Formeln analog obigem Formel-Bsp. für Zeile 22 angepasst</t>
  </si>
  <si>
    <t>H52</t>
  </si>
  <si>
    <t>Laufzeitbeginn ab 01.01.2025 möglich</t>
  </si>
  <si>
    <t xml:space="preserve">Einrichtung </t>
  </si>
  <si>
    <t>B62:F63</t>
  </si>
  <si>
    <t>Felder für Vergütung vst. ab 2025 - dr. bedingte Formatierung "unsichtbar" = Nutzung für zukünftige Erhöhungen der Leistungsbeträge</t>
  </si>
  <si>
    <t>H62:K63</t>
  </si>
  <si>
    <t xml:space="preserve">B2_Gesamtkalkulation bis 2024 =&gt; umbenannt in B2_Gesamtkalkultion </t>
  </si>
  <si>
    <t>J12;L12;N12;P12</t>
  </si>
  <si>
    <t>Erfassung der Leistungsbeträge ab 2025 in der Zeile 11</t>
  </si>
  <si>
    <t>B2_Gesamtkalkulation ab 2025 =&gt; umbenannt in B2_Gesamtkalkultion  ab XXX</t>
  </si>
  <si>
    <t>wird ausgeblendet und für zukünftige Erhöhungen der Leistungsbeträge vorgehalten</t>
  </si>
  <si>
    <t>B61;C61;D61;E61;F61;I61;J61;K61;L61</t>
  </si>
  <si>
    <t>Preise werden aus B2_Gesamtkalkulation gezogen</t>
  </si>
  <si>
    <r>
      <t xml:space="preserve">Einrichtung </t>
    </r>
    <r>
      <rPr>
        <strike/>
        <sz val="10"/>
        <color theme="1"/>
        <rFont val="Arial"/>
        <family val="2"/>
      </rPr>
      <t xml:space="preserve"> (Preise bis 2024)</t>
    </r>
  </si>
  <si>
    <t>Einrichtung  (Preise ab XXX)</t>
  </si>
  <si>
    <t>B43_L43</t>
  </si>
  <si>
    <r>
      <t xml:space="preserve">bedingt formatiert, wenn in allgemeinen Angaben D7 &lt;&gt;0, dann weiße Schrift und Füllfarbe, Rahmen angepasst =&gt; </t>
    </r>
    <r>
      <rPr>
        <sz val="10"/>
        <color rgb="FFFF0000"/>
        <rFont val="Arial"/>
        <family val="2"/>
      </rPr>
      <t>kann für zukünftige Erhöhungen der Leistungsbeträge genutzt werden</t>
    </r>
  </si>
  <si>
    <t>L41</t>
  </si>
  <si>
    <t>Fahrtkosten - Beförderung intern oder Fahrtkosten - Beförderung extern</t>
  </si>
  <si>
    <t>bedingte Formatierung funktionierte nicht, korrigiert</t>
  </si>
  <si>
    <t>L37:L46</t>
  </si>
  <si>
    <t>dr. Verschieben den max. Steigerungsrate für SK von KAT!L109 nach KAT!L110 ist eine Anpassung der Formeln in L37:L46 notwendig</t>
  </si>
  <si>
    <t>Bsp. Formel alt =WENN($M$36&gt;KAT!$L$109;B2_Kalkulation!F37*KAT!$L$109+B2_Kalkulation!F37;WENN(B2_Kalkulation!$M$36=0;F37;WENN(B2_Kalkulation!$M$36&lt;(KAT!$L$109+0,0001%);B2_Kalkulation!F37*B2_Kalkulation!$M$36+B2_Kalkulation!F37)))</t>
  </si>
  <si>
    <t>Bsp. Formel neu = =WENN($M$36&gt;KAT!$L$110;B2_Kalkulation!F37*KAT!$L$110+B2_Kalkulation!F37;WENN(B2_Kalkulation!$M$36=0;F37;WENN(B2_Kalkulation!$M$36&lt;(KAT!$L$110+0,0001%);B2_Kalkulation!F37*B2_Kalkulation!$M$36+B2_Kalkulation!F37)))</t>
  </si>
  <si>
    <t>Bsp. Formel alt =WENN($M$49&gt;KAT!$L$110;B2_Kalkulation!F50*KAT!$L$110+B2_Kalkulation!F50;WENN(B2_Kalkulation!$M$49=0;F50;WENN(B2_Kalkulation!$M$49&lt;(KAT!$L$110+0,0001%);B2_Kalkulation!F50*B2_Kalkulation!$M$49+B2_Kalkulation!F50)))</t>
  </si>
  <si>
    <t>L50:L56</t>
  </si>
  <si>
    <t>dr. Verschieben den max. Steigerungsrate für FL von KAT!L110 nach KAT!L111 ist eine Anpassung der Formeln in L50:L56 notwendig</t>
  </si>
  <si>
    <t>Bsp. Formel neu: =WENN($M$49&gt;KAT!$L$111;B2_Kalkulation!F50*KAT!$L$111+B2_Kalkulation!F50;WENN(B2_Kalkulation!$M$49=0;F50;WENN(B2_Kalkulation!$M$49&lt;(KAT!$L$111+0,0001%);B2_Kalkulation!F50*B2_Kalkulation!$M$49+B2_Kalkulation!F50)))</t>
  </si>
  <si>
    <t>P266</t>
  </si>
  <si>
    <t>Text &gt; als Zellenplatz, deshalb analog der Bereiche 43b, HW,Kü Text o. Benennung FktBereich = "Personalkosten inkl. Personalnebenkosten/Unternehmerrisiko</t>
  </si>
  <si>
    <t>Bitte auswählen.</t>
  </si>
  <si>
    <t>Kat</t>
  </si>
  <si>
    <t>I110</t>
  </si>
  <si>
    <t>Text: Bitte auswählen.</t>
  </si>
  <si>
    <t>I111:M112</t>
  </si>
  <si>
    <t>Angaben zu Steigerungsraten SK+ FL von I110:M111 nach I111:M112 verschoben</t>
  </si>
  <si>
    <t>B48:K49</t>
  </si>
  <si>
    <t xml:space="preserve">Text und bedingte Formatierung zur Inflationsprämie gelöscht </t>
  </si>
  <si>
    <t>verguetung-pflege.sac@vdek.de</t>
  </si>
  <si>
    <t>BARMER</t>
  </si>
  <si>
    <t>Landesvertretung Sachsen</t>
  </si>
  <si>
    <t>Postfach 12 03 65</t>
  </si>
  <si>
    <t>01004 Dresden</t>
  </si>
  <si>
    <t>peter.hoeher@barmer.de</t>
  </si>
  <si>
    <t>andre.kaden@barmer.de</t>
  </si>
  <si>
    <t>alexander.bretschneider@barmer.de</t>
  </si>
  <si>
    <t>angepasst</t>
  </si>
  <si>
    <t>K373;L373</t>
  </si>
  <si>
    <t xml:space="preserve">Summe VK Werte aus Spalte AH; AI nur aus Funktionsbereich Pflege und Betreuung </t>
  </si>
  <si>
    <t xml:space="preserve"> =KAT!R103</t>
  </si>
  <si>
    <t>Personalkosten PHK inklusive Personalnebenkosten/Unternehmerrisiko:</t>
  </si>
  <si>
    <t xml:space="preserve">Personalkosten Pflege inklusive Personalnebenkosten/Unternehmerrisiko: </t>
  </si>
  <si>
    <t>mtl. Arbeitszeit in h (40 h/Woche)</t>
  </si>
  <si>
    <t>A372</t>
  </si>
  <si>
    <r>
      <t xml:space="preserve">Text erweitert: mtl. Arbeitszeit </t>
    </r>
    <r>
      <rPr>
        <sz val="10"/>
        <color rgb="FFFF0000"/>
        <rFont val="Arial"/>
        <family val="2"/>
      </rPr>
      <t>in h</t>
    </r>
    <r>
      <rPr>
        <sz val="10"/>
        <color theme="1"/>
        <rFont val="Arial"/>
        <family val="2"/>
      </rPr>
      <t xml:space="preserve"> (40 h/Woche)</t>
    </r>
  </si>
  <si>
    <t>B2_Personalkostenaufstellung</t>
  </si>
  <si>
    <t>B375:F375</t>
  </si>
  <si>
    <t>VK Angabe - Zahl mit 3 Dezimalstellen</t>
  </si>
  <si>
    <t>B373:F373</t>
  </si>
  <si>
    <t>B381:F381</t>
  </si>
  <si>
    <t xml:space="preserve">Formatiert unten, </t>
  </si>
  <si>
    <t xml:space="preserve">formatiert unten, </t>
  </si>
  <si>
    <t>Fußzeile angepasst</t>
  </si>
  <si>
    <t>Laut Abstimmung UAG Antragsunterlagen und KT bleiben die % für die TP unverändert, bei vst./KZP wird die HW + Kü je auf 5,15% und HAT auf 4,1% erhöht, Grd. Erhöhung der Na-,So,FT-Zuschläge ab 2025 lt. GVWG/21.11.2024</t>
  </si>
  <si>
    <t>sv-freie Zuschläge ab 2025</t>
  </si>
  <si>
    <t>sv-freie Zuschläge bis 2024</t>
  </si>
  <si>
    <t>J119:J120</t>
  </si>
  <si>
    <t>5,15% erfasst</t>
  </si>
  <si>
    <t>J121</t>
  </si>
  <si>
    <t>4,1% erfasst</t>
  </si>
  <si>
    <t xml:space="preserve">gehe weiter zu B2_Gesamtkalkulation </t>
  </si>
  <si>
    <t>gehe weiter zu B2_Gesamtkalkulation</t>
  </si>
  <si>
    <t>alle TABs</t>
  </si>
  <si>
    <t>Fußzeilen geprüft und angepasst</t>
  </si>
  <si>
    <t>N11</t>
  </si>
  <si>
    <t>bedingte Formatierung =Hinweisfelde wird nur bei vst. PE angezeigt</t>
  </si>
  <si>
    <t>100% - Erfassung gelöscht</t>
  </si>
  <si>
    <t>Seite 7 ausgetauscht (bisher Bezug auf Mappe Berechnung - korrigiert: Bezug zu Mappe Personalkostenübersicht), Version und Fußzeile 21.11.2024 belassen mit Blick auf Zeitschiene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</si>
</sst>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#,##0.00\ _€"/>
    <numFmt numFmtId="167" formatCode="0\ &quot;%&quot;"/>
    <numFmt numFmtId="168" formatCode="#,##0.000\ &quot;€&quot;"/>
    <numFmt numFmtId="169" formatCode="#,##0.0000"/>
    <numFmt numFmtId="170" formatCode="_-* #,##0\ [$€-407]_-;\-* #,##0\ [$€-407]_-;_-* &quot;-&quot;??\ [$€-407]_-;_-@_-"/>
    <numFmt numFmtId="171" formatCode="0.0\ %"/>
    <numFmt numFmtId="172" formatCode="#,##0.000"/>
    <numFmt numFmtId="173" formatCode="&quot;1 :&quot;\ 0.00"/>
    <numFmt numFmtId="174" formatCode="\ 0\ &quot;Stelle/n&quot;"/>
    <numFmt numFmtId="175" formatCode="#,##0.00\ &quot;€&quot;&quot;/VK&quot;"/>
    <numFmt numFmtId="176" formatCode="#,##0.00\ &quot;€&quot;&quot;/Stelle&quot;"/>
    <numFmt numFmtId="177" formatCode="#,##0.000\ &quot;VK&quot;"/>
    <numFmt numFmtId="178" formatCode="#,###"/>
    <numFmt numFmtId="179" formatCode="0.000\ &quot;VK&quot;"/>
    <numFmt numFmtId="180" formatCode="dd/mm/yy;@"/>
    <numFmt numFmtId="181" formatCode="#,##0.00\ &quot;€/VK&quot;"/>
    <numFmt numFmtId="182" formatCode="0.00_ &quot;€&quot;"/>
    <numFmt numFmtId="183" formatCode="0.00\ &quot;€&quot;"/>
    <numFmt numFmtId="184" formatCode="_-\ #,##0.00\ &quot;€/VK&quot;"/>
    <numFmt numFmtId="185" formatCode="#,##0\ &quot;€/VK&quot;"/>
    <numFmt numFmtId="186" formatCode="0.00\ &quot;%&quot;"/>
    <numFmt numFmtId="187" formatCode="&quot;1 : &quot;0.00"/>
    <numFmt numFmtId="188" formatCode="0.000%"/>
    <numFmt numFmtId="189" formatCode="0.0%"/>
    <numFmt numFmtId="190" formatCode="&quot;rund&quot;\ #,##0.00\ &quot;€&quot;"/>
    <numFmt numFmtId="191" formatCode="0.00\ &quot;€/Tag&quot;"/>
    <numFmt numFmtId="192" formatCode="0\ &quot;Kalendermonate&quot;"/>
  </numFmts>
  <fonts count="17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1"/>
      <color theme="3" tint="-0.24997711111789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theme="5" tint="-0.499984740745262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1"/>
      <color rgb="FF7030A0"/>
      <name val="Arial"/>
      <family val="2"/>
    </font>
    <font>
      <sz val="11"/>
      <color theme="9" tint="-0.499984740745262"/>
      <name val="Arial"/>
      <family val="2"/>
    </font>
    <font>
      <sz val="10"/>
      <color rgb="FF7030A0"/>
      <name val="Arial"/>
      <family val="2"/>
    </font>
    <font>
      <sz val="10"/>
      <color theme="3" tint="-0.249977111117893"/>
      <name val="Arial"/>
      <family val="2"/>
    </font>
    <font>
      <sz val="11"/>
      <color rgb="FF0070C0"/>
      <name val="Arial"/>
      <family val="2"/>
    </font>
    <font>
      <sz val="8"/>
      <color theme="1"/>
      <name val="Arial"/>
      <family val="2"/>
    </font>
    <font>
      <sz val="11"/>
      <color rgb="FFC0000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0070C0"/>
      <name val="Arial"/>
      <family val="2"/>
    </font>
    <font>
      <b/>
      <sz val="10"/>
      <color theme="3" tint="-0.249977111117893"/>
      <name val="Arial"/>
      <family val="2"/>
    </font>
    <font>
      <sz val="11"/>
      <color rgb="FF92D050"/>
      <name val="Arial"/>
      <family val="2"/>
    </font>
    <font>
      <sz val="9"/>
      <color theme="1"/>
      <name val="Arial"/>
      <family val="2"/>
    </font>
    <font>
      <sz val="8"/>
      <color indexed="81"/>
      <name val="Tahoma"/>
      <family val="2"/>
    </font>
    <font>
      <b/>
      <u/>
      <sz val="12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4"/>
      <name val="Arial"/>
      <family val="2"/>
    </font>
    <font>
      <sz val="48"/>
      <name val="Arial"/>
      <family val="2"/>
    </font>
    <font>
      <b/>
      <i/>
      <sz val="9"/>
      <color rgb="FF0070C0"/>
      <name val="Arial"/>
      <family val="2"/>
    </font>
    <font>
      <b/>
      <i/>
      <sz val="9"/>
      <color theme="3" tint="-0.249977111117893"/>
      <name val="Arial"/>
      <family val="2"/>
    </font>
    <font>
      <b/>
      <i/>
      <sz val="9"/>
      <color theme="1"/>
      <name val="Arial"/>
      <family val="2"/>
    </font>
    <font>
      <u/>
      <sz val="11"/>
      <color theme="1"/>
      <name val="Arial"/>
      <family val="2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theme="3"/>
      <name val="Arial"/>
      <family val="2"/>
    </font>
    <font>
      <sz val="9"/>
      <color theme="3"/>
      <name val="Arial"/>
      <family val="2"/>
    </font>
    <font>
      <sz val="10"/>
      <color theme="7"/>
      <name val="Arial"/>
      <family val="2"/>
    </font>
    <font>
      <b/>
      <sz val="10"/>
      <color theme="7"/>
      <name val="Arial"/>
      <family val="2"/>
    </font>
    <font>
      <u val="double"/>
      <sz val="10"/>
      <color theme="3"/>
      <name val="Arial"/>
      <family val="2"/>
    </font>
    <font>
      <u/>
      <sz val="10"/>
      <color theme="3"/>
      <name val="Arial"/>
      <family val="2"/>
    </font>
    <font>
      <b/>
      <i/>
      <sz val="10"/>
      <color theme="1"/>
      <name val="Arial"/>
      <family val="2"/>
    </font>
    <font>
      <sz val="11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Arial"/>
      <family val="2"/>
    </font>
    <font>
      <b/>
      <sz val="10"/>
      <color theme="0"/>
      <name val="Arial"/>
      <family val="2"/>
    </font>
    <font>
      <sz val="11"/>
      <color rgb="FFFFC000"/>
      <name val="Arial"/>
      <family val="2"/>
    </font>
    <font>
      <sz val="11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u/>
      <sz val="10"/>
      <color rgb="FFFF0000"/>
      <name val="Arial"/>
      <family val="2"/>
    </font>
    <font>
      <b/>
      <i/>
      <sz val="11"/>
      <color theme="1"/>
      <name val="Arial"/>
      <family val="2"/>
    </font>
    <font>
      <sz val="11"/>
      <color rgb="FFFF33CC"/>
      <name val="Arial"/>
      <family val="2"/>
    </font>
    <font>
      <sz val="10"/>
      <color rgb="FFFF33CC"/>
      <name val="Arial"/>
      <family val="2"/>
    </font>
    <font>
      <sz val="9"/>
      <color rgb="FFFF33CC"/>
      <name val="Arial"/>
      <family val="2"/>
    </font>
    <font>
      <sz val="11"/>
      <color theme="7"/>
      <name val="Arial"/>
      <family val="2"/>
    </font>
    <font>
      <sz val="9"/>
      <color theme="7"/>
      <name val="Arial"/>
      <family val="2"/>
    </font>
    <font>
      <sz val="11"/>
      <color theme="0" tint="-0.249977111117893"/>
      <name val="Arial"/>
      <family val="2"/>
    </font>
    <font>
      <sz val="9"/>
      <color rgb="FF7030A0"/>
      <name val="Arial"/>
      <family val="2"/>
    </font>
    <font>
      <sz val="9"/>
      <color rgb="FFFF0000"/>
      <name val="Arial"/>
      <family val="2"/>
    </font>
    <font>
      <sz val="10"/>
      <color theme="0" tint="-0.249977111117893"/>
      <name val="Arial"/>
      <family val="2"/>
    </font>
    <font>
      <b/>
      <sz val="9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/>
      <name val="Arial"/>
      <family val="2"/>
    </font>
    <font>
      <sz val="10"/>
      <color rgb="FFFF00FF"/>
      <name val="Arial"/>
      <family val="2"/>
    </font>
    <font>
      <b/>
      <sz val="10"/>
      <color theme="9" tint="-0.499984740745262"/>
      <name val="Arial"/>
      <family val="2"/>
    </font>
    <font>
      <sz val="10"/>
      <color theme="3" tint="0.39997558519241921"/>
      <name val="Arial"/>
      <family val="2"/>
    </font>
    <font>
      <sz val="10"/>
      <color theme="2" tint="-0.499984740745262"/>
      <name val="Arial"/>
      <family val="2"/>
    </font>
    <font>
      <b/>
      <sz val="10"/>
      <name val="Wingdings"/>
      <charset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9"/>
      <color rgb="FFFF0000"/>
      <name val="Arial"/>
      <family val="2"/>
    </font>
    <font>
      <sz val="11"/>
      <color rgb="FFFF00FF"/>
      <name val="Arial"/>
      <family val="2"/>
    </font>
    <font>
      <b/>
      <sz val="9"/>
      <color theme="1"/>
      <name val="Arial"/>
      <family val="2"/>
    </font>
    <font>
      <b/>
      <sz val="9"/>
      <color theme="3" tint="-0.249977111117893"/>
      <name val="Arial"/>
      <family val="2"/>
    </font>
    <font>
      <b/>
      <sz val="9"/>
      <color rgb="FF0070C0"/>
      <name val="Arial"/>
      <family val="2"/>
    </font>
    <font>
      <b/>
      <sz val="11"/>
      <color rgb="FFFF0000"/>
      <name val="Arial"/>
      <family val="2"/>
    </font>
    <font>
      <b/>
      <sz val="10"/>
      <color theme="0" tint="-0.499984740745262"/>
      <name val="Arial"/>
      <family val="2"/>
    </font>
    <font>
      <sz val="11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7"/>
      <color theme="0" tint="-0.34998626667073579"/>
      <name val="Arial"/>
      <family val="2"/>
    </font>
    <font>
      <u val="double"/>
      <sz val="11"/>
      <color theme="1"/>
      <name val="Arial"/>
      <family val="2"/>
    </font>
    <font>
      <b/>
      <u val="double"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u/>
      <sz val="11"/>
      <color rgb="FFFF0000"/>
      <name val="Arial"/>
      <family val="2"/>
    </font>
    <font>
      <b/>
      <u/>
      <sz val="11"/>
      <color theme="1"/>
      <name val="Arial"/>
      <family val="2"/>
    </font>
    <font>
      <i/>
      <sz val="11"/>
      <color rgb="FFFF0000"/>
      <name val="Arial"/>
      <family val="2"/>
    </font>
    <font>
      <strike/>
      <sz val="11"/>
      <color theme="1"/>
      <name val="Arial"/>
      <family val="2"/>
    </font>
    <font>
      <b/>
      <sz val="11"/>
      <color rgb="FF0070C0"/>
      <name val="Arial"/>
      <family val="2"/>
    </font>
    <font>
      <sz val="9"/>
      <color theme="0" tint="-0.249977111117893"/>
      <name val="Arial"/>
      <family val="2"/>
    </font>
    <font>
      <b/>
      <sz val="18"/>
      <color theme="0"/>
      <name val="Arial"/>
      <family val="2"/>
    </font>
    <font>
      <u/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rgb="FF0070C0"/>
      <name val="Arial"/>
      <family val="2"/>
    </font>
    <font>
      <u/>
      <sz val="10"/>
      <color rgb="FF0070C0"/>
      <name val="Arial"/>
      <family val="2"/>
    </font>
    <font>
      <b/>
      <sz val="16"/>
      <color theme="3"/>
      <name val="Arial"/>
      <family val="2"/>
    </font>
    <font>
      <b/>
      <sz val="9"/>
      <color theme="3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theme="0" tint="-4.9989318521683403E-2"/>
      <name val="Arial"/>
      <family val="2"/>
    </font>
    <font>
      <i/>
      <sz val="10"/>
      <color theme="1"/>
      <name val="Arial"/>
      <family val="2"/>
    </font>
    <font>
      <b/>
      <strike/>
      <sz val="12"/>
      <color theme="0"/>
      <name val="Arial"/>
      <family val="2"/>
    </font>
    <font>
      <strike/>
      <sz val="10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CD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BFD9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/>
        <bgColor indexed="64"/>
      </patternFill>
    </fill>
  </fills>
  <borders count="1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rgb="FF0070C0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theme="6" tint="-0.24994659260841701"/>
      </top>
      <bottom/>
      <diagonal/>
    </border>
    <border>
      <left style="dotted">
        <color auto="1"/>
      </left>
      <right style="dotted">
        <color auto="1"/>
      </right>
      <top/>
      <bottom style="medium">
        <color theme="6" tint="-0.24994659260841701"/>
      </bottom>
      <diagonal/>
    </border>
    <border>
      <left style="dotted">
        <color auto="1"/>
      </left>
      <right style="dotted">
        <color auto="1"/>
      </right>
      <top style="medium">
        <color rgb="FF0070C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theme="6" tint="-0.24994659260841701"/>
      </right>
      <top style="medium">
        <color theme="6" tint="-0.24994659260841701"/>
      </top>
      <bottom/>
      <diagonal/>
    </border>
    <border>
      <left style="dotted">
        <color auto="1"/>
      </left>
      <right style="medium">
        <color theme="6" tint="-0.24994659260841701"/>
      </right>
      <top/>
      <bottom style="medium">
        <color theme="6" tint="-0.24994659260841701"/>
      </bottom>
      <diagonal/>
    </border>
    <border>
      <left style="dotted">
        <color auto="1"/>
      </left>
      <right style="medium">
        <color rgb="FF0070C0"/>
      </right>
      <top style="medium">
        <color rgb="FF0070C0"/>
      </top>
      <bottom/>
      <diagonal/>
    </border>
    <border>
      <left style="dotted">
        <color auto="1"/>
      </left>
      <right style="medium">
        <color rgb="FF0070C0"/>
      </right>
      <top/>
      <bottom style="medium">
        <color rgb="FF0070C0"/>
      </bottom>
      <diagonal/>
    </border>
    <border>
      <left style="dotted">
        <color auto="1"/>
      </left>
      <right style="medium">
        <color rgb="FF0070C0"/>
      </right>
      <top/>
      <bottom/>
      <diagonal/>
    </border>
    <border>
      <left style="medium">
        <color rgb="FF0070C0"/>
      </left>
      <right style="dotted">
        <color auto="1"/>
      </right>
      <top style="medium">
        <color rgb="FF0070C0"/>
      </top>
      <bottom/>
      <diagonal/>
    </border>
    <border>
      <left style="medium">
        <color rgb="FF0070C0"/>
      </left>
      <right style="dotted">
        <color auto="1"/>
      </right>
      <top/>
      <bottom style="medium">
        <color rgb="FF0070C0"/>
      </bottom>
      <diagonal/>
    </border>
    <border>
      <left style="medium">
        <color rgb="FF0070C0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6" tint="-0.24994659260841701"/>
      </left>
      <right style="dotted">
        <color auto="1"/>
      </right>
      <top style="medium">
        <color theme="6" tint="-0.24994659260841701"/>
      </top>
      <bottom/>
      <diagonal/>
    </border>
    <border>
      <left style="medium">
        <color theme="6" tint="-0.24994659260841701"/>
      </left>
      <right style="dotted">
        <color auto="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9"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13" borderId="68" applyNumberFormat="0" applyAlignment="0">
      <protection locked="0"/>
    </xf>
    <xf numFmtId="171" fontId="65" fillId="0" borderId="0" applyFont="0" applyFill="0" applyBorder="0" applyAlignment="0" applyProtection="0"/>
    <xf numFmtId="0" fontId="54" fillId="14" borderId="0" applyNumberFormat="0" applyFont="0" applyBorder="0" applyAlignment="0" applyProtection="0"/>
    <xf numFmtId="0" fontId="54" fillId="15" borderId="0" applyNumberFormat="0" applyFont="0" applyBorder="0" applyAlignment="0" applyProtection="0"/>
    <xf numFmtId="14" fontId="65" fillId="13" borderId="14" applyFont="0" applyFill="0" applyBorder="0" applyAlignment="0" applyProtection="0">
      <alignment vertical="center"/>
      <protection locked="0"/>
    </xf>
    <xf numFmtId="0" fontId="54" fillId="13" borderId="68" applyNumberFormat="0" applyAlignment="0">
      <protection locked="0"/>
    </xf>
    <xf numFmtId="0" fontId="58" fillId="13" borderId="14" applyNumberFormat="0" applyFont="0" applyAlignment="0">
      <protection locked="0"/>
    </xf>
    <xf numFmtId="0" fontId="65" fillId="0" borderId="0" applyNumberFormat="0" applyFont="0" applyBorder="0" applyAlignment="0"/>
    <xf numFmtId="0" fontId="65" fillId="16" borderId="0" applyNumberFormat="0" applyFont="0" applyBorder="0" applyAlignment="0" applyProtection="0"/>
    <xf numFmtId="0" fontId="65" fillId="0" borderId="0" applyBorder="0">
      <alignment vertical="center"/>
    </xf>
    <xf numFmtId="2" fontId="65" fillId="0" borderId="0" applyFont="0" applyFill="0" applyBorder="0" applyAlignment="0" applyProtection="0"/>
    <xf numFmtId="49" fontId="65" fillId="0" borderId="0" applyFont="0" applyFill="0" applyBorder="0" applyAlignment="0" applyProtection="0">
      <alignment vertical="center"/>
    </xf>
    <xf numFmtId="172" fontId="65" fillId="0" borderId="0" applyFont="0" applyFill="0" applyBorder="0" applyAlignment="0" applyProtection="0"/>
    <xf numFmtId="0" fontId="46" fillId="15" borderId="0" applyNumberFormat="0" applyBorder="0" applyAlignment="0" applyProtection="0"/>
    <xf numFmtId="0" fontId="65" fillId="0" borderId="0" applyBorder="0">
      <alignment vertical="center"/>
    </xf>
  </cellStyleXfs>
  <cellXfs count="1905">
    <xf numFmtId="0" fontId="0" fillId="0" borderId="0" xfId="0"/>
    <xf numFmtId="0" fontId="55" fillId="0" borderId="0" xfId="0" applyFont="1"/>
    <xf numFmtId="0" fontId="0" fillId="0" borderId="0" xfId="0" applyProtection="1">
      <protection hidden="1"/>
    </xf>
    <xf numFmtId="0" fontId="59" fillId="0" borderId="0" xfId="0" applyFont="1" applyProtection="1">
      <protection hidden="1"/>
    </xf>
    <xf numFmtId="0" fontId="59" fillId="0" borderId="0" xfId="0" applyFont="1" applyAlignment="1" applyProtection="1">
      <alignment horizontal="right"/>
      <protection hidden="1"/>
    </xf>
    <xf numFmtId="0" fontId="63" fillId="0" borderId="0" xfId="0" applyFont="1"/>
    <xf numFmtId="0" fontId="53" fillId="0" borderId="0" xfId="0" applyFont="1" applyProtection="1">
      <protection hidden="1"/>
    </xf>
    <xf numFmtId="0" fontId="65" fillId="0" borderId="0" xfId="0" applyFont="1"/>
    <xf numFmtId="0" fontId="0" fillId="0" borderId="5" xfId="0" applyBorder="1"/>
    <xf numFmtId="0" fontId="0" fillId="0" borderId="4" xfId="0" applyBorder="1"/>
    <xf numFmtId="0" fontId="0" fillId="0" borderId="2" xfId="0" applyBorder="1"/>
    <xf numFmtId="0" fontId="0" fillId="0" borderId="0" xfId="0" applyAlignment="1" applyProtection="1">
      <alignment vertical="center"/>
      <protection hidden="1"/>
    </xf>
    <xf numFmtId="0" fontId="64" fillId="0" borderId="0" xfId="0" applyFont="1" applyProtection="1">
      <protection hidden="1"/>
    </xf>
    <xf numFmtId="0" fontId="53" fillId="8" borderId="0" xfId="0" applyFont="1" applyFill="1" applyProtection="1">
      <protection hidden="1"/>
    </xf>
    <xf numFmtId="0" fontId="53" fillId="8" borderId="0" xfId="0" applyFont="1" applyFill="1" applyAlignment="1" applyProtection="1">
      <alignment horizontal="right"/>
      <protection hidden="1"/>
    </xf>
    <xf numFmtId="0" fontId="54" fillId="0" borderId="4" xfId="0" applyFont="1" applyBorder="1"/>
    <xf numFmtId="0" fontId="78" fillId="0" borderId="0" xfId="0" applyFont="1"/>
    <xf numFmtId="0" fontId="54" fillId="0" borderId="0" xfId="0" applyFont="1"/>
    <xf numFmtId="0" fontId="54" fillId="0" borderId="5" xfId="0" applyFont="1" applyBorder="1"/>
    <xf numFmtId="0" fontId="85" fillId="0" borderId="0" xfId="0" applyFont="1"/>
    <xf numFmtId="0" fontId="58" fillId="0" borderId="0" xfId="0" applyFont="1"/>
    <xf numFmtId="0" fontId="66" fillId="0" borderId="0" xfId="0" applyFont="1"/>
    <xf numFmtId="0" fontId="58" fillId="0" borderId="5" xfId="0" applyFont="1" applyBorder="1"/>
    <xf numFmtId="0" fontId="71" fillId="0" borderId="0" xfId="0" applyFont="1"/>
    <xf numFmtId="0" fontId="65" fillId="0" borderId="5" xfId="0" applyFont="1" applyBorder="1"/>
    <xf numFmtId="0" fontId="54" fillId="0" borderId="27" xfId="0" applyFont="1" applyBorder="1"/>
    <xf numFmtId="0" fontId="54" fillId="0" borderId="28" xfId="0" applyFont="1" applyBorder="1"/>
    <xf numFmtId="0" fontId="58" fillId="0" borderId="28" xfId="0" applyFont="1" applyBorder="1"/>
    <xf numFmtId="0" fontId="65" fillId="0" borderId="28" xfId="0" applyFont="1" applyBorder="1"/>
    <xf numFmtId="0" fontId="65" fillId="0" borderId="29" xfId="0" applyFont="1" applyBorder="1"/>
    <xf numFmtId="0" fontId="79" fillId="0" borderId="0" xfId="0" applyFont="1"/>
    <xf numFmtId="0" fontId="54" fillId="0" borderId="6" xfId="0" applyFont="1" applyBorder="1"/>
    <xf numFmtId="0" fontId="54" fillId="0" borderId="8" xfId="0" applyFont="1" applyBorder="1"/>
    <xf numFmtId="0" fontId="56" fillId="0" borderId="0" xfId="0" applyFont="1"/>
    <xf numFmtId="0" fontId="86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9" fontId="71" fillId="7" borderId="0" xfId="0" applyNumberFormat="1" applyFont="1" applyFill="1"/>
    <xf numFmtId="0" fontId="65" fillId="0" borderId="5" xfId="0" applyFont="1" applyBorder="1" applyAlignment="1">
      <alignment horizontal="left" vertical="top"/>
    </xf>
    <xf numFmtId="0" fontId="65" fillId="0" borderId="5" xfId="0" applyFont="1" applyBorder="1" applyAlignment="1">
      <alignment horizontal="left"/>
    </xf>
    <xf numFmtId="0" fontId="65" fillId="0" borderId="0" xfId="0" applyFont="1" applyAlignment="1">
      <alignment horizontal="left" vertical="top"/>
    </xf>
    <xf numFmtId="0" fontId="65" fillId="0" borderId="0" xfId="0" applyFont="1" applyAlignment="1">
      <alignment horizontal="left"/>
    </xf>
    <xf numFmtId="0" fontId="54" fillId="6" borderId="0" xfId="0" applyFont="1" applyFill="1" applyAlignment="1">
      <alignment horizontal="center"/>
    </xf>
    <xf numFmtId="0" fontId="78" fillId="0" borderId="4" xfId="0" applyFont="1" applyBorder="1"/>
    <xf numFmtId="0" fontId="78" fillId="9" borderId="15" xfId="0" applyFont="1" applyFill="1" applyBorder="1" applyAlignment="1" applyProtection="1">
      <alignment horizontal="center" vertical="center"/>
      <protection locked="0"/>
    </xf>
    <xf numFmtId="0" fontId="88" fillId="0" borderId="0" xfId="0" applyFont="1"/>
    <xf numFmtId="0" fontId="78" fillId="0" borderId="5" xfId="0" applyFont="1" applyBorder="1"/>
    <xf numFmtId="0" fontId="88" fillId="0" borderId="4" xfId="0" applyFont="1" applyBorder="1"/>
    <xf numFmtId="0" fontId="89" fillId="0" borderId="0" xfId="0" applyFont="1"/>
    <xf numFmtId="0" fontId="88" fillId="0" borderId="5" xfId="0" applyFont="1" applyBorder="1"/>
    <xf numFmtId="0" fontId="57" fillId="9" borderId="15" xfId="0" applyFont="1" applyFill="1" applyBorder="1" applyAlignment="1" applyProtection="1">
      <alignment horizontal="center" vertical="center"/>
      <protection locked="0"/>
    </xf>
    <xf numFmtId="0" fontId="89" fillId="0" borderId="5" xfId="0" applyFont="1" applyBorder="1"/>
    <xf numFmtId="0" fontId="60" fillId="9" borderId="15" xfId="0" applyFont="1" applyFill="1" applyBorder="1" applyAlignment="1" applyProtection="1">
      <alignment horizontal="center" vertical="center"/>
      <protection locked="0"/>
    </xf>
    <xf numFmtId="0" fontId="65" fillId="0" borderId="0" xfId="0" applyFont="1" applyAlignment="1">
      <alignment vertical="top"/>
    </xf>
    <xf numFmtId="0" fontId="0" fillId="0" borderId="7" xfId="0" applyBorder="1"/>
    <xf numFmtId="0" fontId="58" fillId="0" borderId="7" xfId="0" applyFont="1" applyBorder="1"/>
    <xf numFmtId="0" fontId="90" fillId="0" borderId="0" xfId="0" applyFont="1"/>
    <xf numFmtId="0" fontId="60" fillId="3" borderId="14" xfId="0" applyFont="1" applyFill="1" applyBorder="1" applyAlignment="1" applyProtection="1">
      <alignment horizontal="center"/>
      <protection locked="0"/>
    </xf>
    <xf numFmtId="0" fontId="54" fillId="6" borderId="0" xfId="0" applyFont="1" applyFill="1" applyProtection="1">
      <protection hidden="1"/>
    </xf>
    <xf numFmtId="0" fontId="65" fillId="6" borderId="0" xfId="0" applyFont="1" applyFill="1" applyProtection="1">
      <protection hidden="1"/>
    </xf>
    <xf numFmtId="0" fontId="60" fillId="6" borderId="0" xfId="0" applyFont="1" applyFill="1" applyAlignment="1" applyProtection="1">
      <alignment horizontal="center"/>
      <protection hidden="1"/>
    </xf>
    <xf numFmtId="0" fontId="54" fillId="0" borderId="0" xfId="0" applyFont="1" applyProtection="1">
      <protection hidden="1"/>
    </xf>
    <xf numFmtId="0" fontId="54" fillId="3" borderId="14" xfId="0" applyFont="1" applyFill="1" applyBorder="1" applyProtection="1">
      <protection locked="0"/>
    </xf>
    <xf numFmtId="2" fontId="74" fillId="8" borderId="0" xfId="0" applyNumberFormat="1" applyFont="1" applyFill="1" applyAlignment="1" applyProtection="1">
      <alignment horizontal="center"/>
      <protection hidden="1"/>
    </xf>
    <xf numFmtId="10" fontId="74" fillId="8" borderId="0" xfId="0" applyNumberFormat="1" applyFont="1" applyFill="1" applyAlignment="1" applyProtection="1">
      <alignment horizontal="center"/>
      <protection hidden="1"/>
    </xf>
    <xf numFmtId="165" fontId="74" fillId="8" borderId="0" xfId="0" applyNumberFormat="1" applyFont="1" applyFill="1" applyAlignment="1" applyProtection="1">
      <alignment horizontal="center"/>
      <protection hidden="1"/>
    </xf>
    <xf numFmtId="0" fontId="59" fillId="8" borderId="43" xfId="0" applyFont="1" applyFill="1" applyBorder="1" applyAlignment="1" applyProtection="1">
      <alignment horizontal="center"/>
      <protection hidden="1"/>
    </xf>
    <xf numFmtId="0" fontId="74" fillId="8" borderId="39" xfId="0" applyFont="1" applyFill="1" applyBorder="1" applyProtection="1">
      <protection hidden="1"/>
    </xf>
    <xf numFmtId="0" fontId="81" fillId="8" borderId="41" xfId="0" applyFont="1" applyFill="1" applyBorder="1" applyAlignment="1" applyProtection="1">
      <alignment horizontal="center"/>
      <protection hidden="1"/>
    </xf>
    <xf numFmtId="0" fontId="53" fillId="8" borderId="39" xfId="0" applyFont="1" applyFill="1" applyBorder="1" applyProtection="1">
      <protection hidden="1"/>
    </xf>
    <xf numFmtId="170" fontId="80" fillId="8" borderId="42" xfId="0" applyNumberFormat="1" applyFont="1" applyFill="1" applyBorder="1" applyAlignment="1" applyProtection="1">
      <alignment horizontal="center" vertical="center"/>
      <protection hidden="1"/>
    </xf>
    <xf numFmtId="170" fontId="80" fillId="8" borderId="46" xfId="0" applyNumberFormat="1" applyFont="1" applyFill="1" applyBorder="1" applyAlignment="1" applyProtection="1">
      <alignment horizontal="center" vertical="center"/>
      <protection hidden="1"/>
    </xf>
    <xf numFmtId="2" fontId="70" fillId="8" borderId="39" xfId="0" applyNumberFormat="1" applyFont="1" applyFill="1" applyBorder="1" applyAlignment="1" applyProtection="1">
      <alignment horizontal="center" vertical="center"/>
      <protection hidden="1"/>
    </xf>
    <xf numFmtId="0" fontId="80" fillId="8" borderId="39" xfId="0" applyFont="1" applyFill="1" applyBorder="1" applyAlignment="1" applyProtection="1">
      <alignment horizontal="center" vertical="center"/>
      <protection hidden="1"/>
    </xf>
    <xf numFmtId="2" fontId="80" fillId="8" borderId="39" xfId="0" applyNumberFormat="1" applyFont="1" applyFill="1" applyBorder="1" applyAlignment="1" applyProtection="1">
      <alignment horizontal="center" vertical="center"/>
      <protection hidden="1"/>
    </xf>
    <xf numFmtId="2" fontId="80" fillId="8" borderId="48" xfId="0" applyNumberFormat="1" applyFont="1" applyFill="1" applyBorder="1" applyAlignment="1" applyProtection="1">
      <alignment horizontal="center" vertical="center"/>
      <protection hidden="1"/>
    </xf>
    <xf numFmtId="0" fontId="69" fillId="8" borderId="38" xfId="0" applyFont="1" applyFill="1" applyBorder="1" applyAlignment="1" applyProtection="1">
      <alignment horizontal="center" vertical="center"/>
      <protection hidden="1"/>
    </xf>
    <xf numFmtId="10" fontId="93" fillId="8" borderId="38" xfId="3" applyNumberFormat="1" applyFont="1" applyFill="1" applyBorder="1" applyAlignment="1" applyProtection="1">
      <alignment horizontal="center" vertical="center"/>
      <protection hidden="1"/>
    </xf>
    <xf numFmtId="0" fontId="53" fillId="8" borderId="42" xfId="0" applyFont="1" applyFill="1" applyBorder="1" applyProtection="1">
      <protection hidden="1"/>
    </xf>
    <xf numFmtId="0" fontId="59" fillId="8" borderId="52" xfId="0" applyFont="1" applyFill="1" applyBorder="1" applyAlignment="1" applyProtection="1">
      <alignment horizontal="center"/>
      <protection hidden="1"/>
    </xf>
    <xf numFmtId="0" fontId="59" fillId="8" borderId="54" xfId="0" applyFont="1" applyFill="1" applyBorder="1" applyAlignment="1" applyProtection="1">
      <alignment horizontal="center"/>
      <protection hidden="1"/>
    </xf>
    <xf numFmtId="0" fontId="53" fillId="8" borderId="53" xfId="0" applyFont="1" applyFill="1" applyBorder="1" applyProtection="1">
      <protection hidden="1"/>
    </xf>
    <xf numFmtId="10" fontId="95" fillId="7" borderId="53" xfId="3" applyNumberFormat="1" applyFont="1" applyFill="1" applyBorder="1" applyProtection="1">
      <protection hidden="1"/>
    </xf>
    <xf numFmtId="10" fontId="95" fillId="7" borderId="55" xfId="3" applyNumberFormat="1" applyFont="1" applyFill="1" applyBorder="1" applyProtection="1">
      <protection hidden="1"/>
    </xf>
    <xf numFmtId="10" fontId="93" fillId="7" borderId="38" xfId="3" applyNumberFormat="1" applyFont="1" applyFill="1" applyBorder="1" applyAlignment="1" applyProtection="1">
      <alignment horizontal="center" vertical="center"/>
      <protection hidden="1"/>
    </xf>
    <xf numFmtId="10" fontId="93" fillId="7" borderId="47" xfId="3" applyNumberFormat="1" applyFont="1" applyFill="1" applyBorder="1" applyAlignment="1" applyProtection="1">
      <alignment horizontal="center" vertical="center"/>
      <protection hidden="1"/>
    </xf>
    <xf numFmtId="10" fontId="94" fillId="7" borderId="41" xfId="3" applyNumberFormat="1" applyFont="1" applyFill="1" applyBorder="1" applyAlignment="1" applyProtection="1">
      <alignment horizontal="center"/>
      <protection hidden="1"/>
    </xf>
    <xf numFmtId="10" fontId="94" fillId="7" borderId="45" xfId="3" applyNumberFormat="1" applyFont="1" applyFill="1" applyBorder="1" applyAlignment="1" applyProtection="1">
      <alignment horizontal="center"/>
      <protection hidden="1"/>
    </xf>
    <xf numFmtId="0" fontId="97" fillId="0" borderId="0" xfId="0" applyFont="1"/>
    <xf numFmtId="0" fontId="98" fillId="0" borderId="0" xfId="0" applyFont="1" applyAlignment="1">
      <alignment vertical="top"/>
    </xf>
    <xf numFmtId="0" fontId="0" fillId="11" borderId="0" xfId="0" applyFill="1" applyProtection="1">
      <protection hidden="1"/>
    </xf>
    <xf numFmtId="0" fontId="99" fillId="11" borderId="0" xfId="0" applyFont="1" applyFill="1" applyProtection="1">
      <protection hidden="1"/>
    </xf>
    <xf numFmtId="0" fontId="99" fillId="10" borderId="66" xfId="0" applyFont="1" applyFill="1" applyBorder="1" applyAlignment="1" applyProtection="1">
      <alignment horizontal="center"/>
      <protection hidden="1"/>
    </xf>
    <xf numFmtId="0" fontId="99" fillId="10" borderId="37" xfId="0" applyFont="1" applyFill="1" applyBorder="1" applyAlignment="1" applyProtection="1">
      <alignment horizontal="center"/>
      <protection hidden="1"/>
    </xf>
    <xf numFmtId="0" fontId="99" fillId="10" borderId="13" xfId="0" applyFont="1" applyFill="1" applyBorder="1" applyAlignment="1" applyProtection="1">
      <alignment horizontal="center"/>
      <protection hidden="1"/>
    </xf>
    <xf numFmtId="0" fontId="99" fillId="7" borderId="14" xfId="0" applyFont="1" applyFill="1" applyBorder="1" applyAlignment="1" applyProtection="1">
      <alignment horizontal="center"/>
      <protection hidden="1"/>
    </xf>
    <xf numFmtId="0" fontId="99" fillId="11" borderId="59" xfId="0" applyFont="1" applyFill="1" applyBorder="1" applyProtection="1">
      <protection hidden="1"/>
    </xf>
    <xf numFmtId="0" fontId="99" fillId="11" borderId="58" xfId="0" applyFont="1" applyFill="1" applyBorder="1" applyProtection="1">
      <protection hidden="1"/>
    </xf>
    <xf numFmtId="0" fontId="99" fillId="11" borderId="60" xfId="0" applyFont="1" applyFill="1" applyBorder="1" applyProtection="1">
      <protection hidden="1"/>
    </xf>
    <xf numFmtId="0" fontId="99" fillId="11" borderId="61" xfId="0" applyFont="1" applyFill="1" applyBorder="1" applyProtection="1">
      <protection hidden="1"/>
    </xf>
    <xf numFmtId="0" fontId="99" fillId="11" borderId="62" xfId="0" applyFont="1" applyFill="1" applyBorder="1" applyProtection="1">
      <protection hidden="1"/>
    </xf>
    <xf numFmtId="0" fontId="99" fillId="11" borderId="63" xfId="0" applyFont="1" applyFill="1" applyBorder="1" applyProtection="1">
      <protection hidden="1"/>
    </xf>
    <xf numFmtId="0" fontId="99" fillId="10" borderId="3" xfId="0" applyFont="1" applyFill="1" applyBorder="1" applyAlignment="1" applyProtection="1">
      <alignment horizontal="center"/>
      <protection hidden="1"/>
    </xf>
    <xf numFmtId="0" fontId="100" fillId="11" borderId="0" xfId="0" applyFont="1" applyFill="1" applyProtection="1">
      <protection hidden="1"/>
    </xf>
    <xf numFmtId="0" fontId="99" fillId="11" borderId="21" xfId="0" applyFont="1" applyFill="1" applyBorder="1" applyProtection="1">
      <protection hidden="1"/>
    </xf>
    <xf numFmtId="0" fontId="99" fillId="11" borderId="7" xfId="0" applyFont="1" applyFill="1" applyBorder="1" applyProtection="1">
      <protection hidden="1"/>
    </xf>
    <xf numFmtId="0" fontId="99" fillId="11" borderId="21" xfId="0" applyFont="1" applyFill="1" applyBorder="1" applyAlignment="1" applyProtection="1">
      <alignment horizontal="center"/>
      <protection hidden="1"/>
    </xf>
    <xf numFmtId="0" fontId="99" fillId="11" borderId="7" xfId="0" applyFont="1" applyFill="1" applyBorder="1" applyAlignment="1" applyProtection="1">
      <alignment horizontal="center"/>
      <protection hidden="1"/>
    </xf>
    <xf numFmtId="0" fontId="99" fillId="11" borderId="19" xfId="0" applyFont="1" applyFill="1" applyBorder="1" applyProtection="1">
      <protection hidden="1"/>
    </xf>
    <xf numFmtId="0" fontId="99" fillId="0" borderId="0" xfId="0" applyFont="1" applyProtection="1">
      <protection hidden="1"/>
    </xf>
    <xf numFmtId="0" fontId="99" fillId="0" borderId="19" xfId="0" applyFont="1" applyBorder="1" applyProtection="1">
      <protection hidden="1"/>
    </xf>
    <xf numFmtId="0" fontId="99" fillId="11" borderId="0" xfId="0" applyFont="1" applyFill="1" applyAlignment="1" applyProtection="1">
      <alignment horizontal="center"/>
      <protection hidden="1"/>
    </xf>
    <xf numFmtId="0" fontId="99" fillId="6" borderId="19" xfId="0" applyFont="1" applyFill="1" applyBorder="1" applyProtection="1">
      <protection hidden="1"/>
    </xf>
    <xf numFmtId="0" fontId="101" fillId="11" borderId="0" xfId="0" applyFont="1" applyFill="1" applyProtection="1">
      <protection hidden="1"/>
    </xf>
    <xf numFmtId="0" fontId="99" fillId="11" borderId="25" xfId="0" applyFont="1" applyFill="1" applyBorder="1" applyProtection="1">
      <protection hidden="1"/>
    </xf>
    <xf numFmtId="0" fontId="99" fillId="7" borderId="37" xfId="0" applyFont="1" applyFill="1" applyBorder="1" applyProtection="1">
      <protection hidden="1"/>
    </xf>
    <xf numFmtId="0" fontId="102" fillId="11" borderId="0" xfId="0" applyFont="1" applyFill="1" applyProtection="1">
      <protection hidden="1"/>
    </xf>
    <xf numFmtId="0" fontId="100" fillId="7" borderId="19" xfId="0" applyFont="1" applyFill="1" applyBorder="1" applyProtection="1">
      <protection hidden="1"/>
    </xf>
    <xf numFmtId="0" fontId="103" fillId="11" borderId="0" xfId="0" applyFont="1" applyFill="1" applyProtection="1">
      <protection hidden="1"/>
    </xf>
    <xf numFmtId="0" fontId="104" fillId="11" borderId="0" xfId="0" applyFont="1" applyFill="1" applyProtection="1">
      <protection hidden="1"/>
    </xf>
    <xf numFmtId="0" fontId="99" fillId="12" borderId="0" xfId="0" applyFont="1" applyFill="1" applyProtection="1">
      <protection hidden="1"/>
    </xf>
    <xf numFmtId="0" fontId="99" fillId="12" borderId="19" xfId="0" applyFont="1" applyFill="1" applyBorder="1" applyProtection="1">
      <protection hidden="1"/>
    </xf>
    <xf numFmtId="0" fontId="99" fillId="12" borderId="14" xfId="0" applyFont="1" applyFill="1" applyBorder="1" applyAlignment="1" applyProtection="1">
      <alignment horizontal="center"/>
      <protection hidden="1"/>
    </xf>
    <xf numFmtId="0" fontId="105" fillId="11" borderId="0" xfId="0" applyFont="1" applyFill="1" applyProtection="1">
      <protection hidden="1"/>
    </xf>
    <xf numFmtId="0" fontId="106" fillId="11" borderId="0" xfId="0" applyFont="1" applyFill="1" applyProtection="1">
      <protection hidden="1"/>
    </xf>
    <xf numFmtId="0" fontId="100" fillId="11" borderId="67" xfId="0" applyFont="1" applyFill="1" applyBorder="1" applyProtection="1">
      <protection hidden="1"/>
    </xf>
    <xf numFmtId="0" fontId="108" fillId="0" borderId="0" xfId="0" applyFont="1"/>
    <xf numFmtId="0" fontId="67" fillId="0" borderId="0" xfId="1" applyBorder="1" applyAlignment="1" applyProtection="1"/>
    <xf numFmtId="0" fontId="115" fillId="6" borderId="0" xfId="1" applyFont="1" applyFill="1" applyAlignment="1" applyProtection="1"/>
    <xf numFmtId="0" fontId="0" fillId="0" borderId="3" xfId="0" applyBorder="1"/>
    <xf numFmtId="0" fontId="0" fillId="0" borderId="18" xfId="0" applyBorder="1"/>
    <xf numFmtId="14" fontId="117" fillId="0" borderId="0" xfId="0" applyNumberFormat="1" applyFont="1"/>
    <xf numFmtId="0" fontId="70" fillId="8" borderId="40" xfId="0" applyFont="1" applyFill="1" applyBorder="1" applyAlignment="1" applyProtection="1">
      <alignment horizontal="center"/>
      <protection hidden="1"/>
    </xf>
    <xf numFmtId="0" fontId="70" fillId="8" borderId="44" xfId="0" applyFont="1" applyFill="1" applyBorder="1" applyAlignment="1" applyProtection="1">
      <alignment horizontal="center"/>
      <protection hidden="1"/>
    </xf>
    <xf numFmtId="0" fontId="0" fillId="0" borderId="14" xfId="0" applyBorder="1"/>
    <xf numFmtId="0" fontId="59" fillId="0" borderId="1" xfId="0" applyFont="1" applyBorder="1"/>
    <xf numFmtId="0" fontId="0" fillId="0" borderId="12" xfId="0" applyBorder="1"/>
    <xf numFmtId="0" fontId="0" fillId="0" borderId="20" xfId="0" applyBorder="1"/>
    <xf numFmtId="0" fontId="0" fillId="0" borderId="13" xfId="0" applyBorder="1"/>
    <xf numFmtId="179" fontId="0" fillId="16" borderId="12" xfId="0" applyNumberFormat="1" applyFill="1" applyBorder="1"/>
    <xf numFmtId="179" fontId="0" fillId="16" borderId="15" xfId="0" applyNumberFormat="1" applyFill="1" applyBorder="1"/>
    <xf numFmtId="179" fontId="0" fillId="16" borderId="8" xfId="0" applyNumberFormat="1" applyFill="1" applyBorder="1"/>
    <xf numFmtId="179" fontId="0" fillId="16" borderId="14" xfId="0" applyNumberFormat="1" applyFill="1" applyBorder="1"/>
    <xf numFmtId="0" fontId="0" fillId="0" borderId="6" xfId="0" applyBorder="1"/>
    <xf numFmtId="0" fontId="0" fillId="0" borderId="8" xfId="0" applyBorder="1"/>
    <xf numFmtId="0" fontId="0" fillId="16" borderId="14" xfId="0" applyFill="1" applyBorder="1"/>
    <xf numFmtId="0" fontId="0" fillId="16" borderId="14" xfId="0" applyFill="1" applyBorder="1" applyAlignment="1">
      <alignment wrapText="1"/>
    </xf>
    <xf numFmtId="0" fontId="0" fillId="7" borderId="14" xfId="0" applyFill="1" applyBorder="1"/>
    <xf numFmtId="1" fontId="0" fillId="0" borderId="14" xfId="0" applyNumberFormat="1" applyBorder="1"/>
    <xf numFmtId="2" fontId="0" fillId="0" borderId="14" xfId="0" applyNumberFormat="1" applyBorder="1"/>
    <xf numFmtId="10" fontId="0" fillId="0" borderId="14" xfId="3" applyNumberFormat="1" applyFont="1" applyBorder="1"/>
    <xf numFmtId="0" fontId="0" fillId="7" borderId="35" xfId="0" applyFill="1" applyBorder="1"/>
    <xf numFmtId="1" fontId="0" fillId="0" borderId="35" xfId="0" applyNumberFormat="1" applyBorder="1"/>
    <xf numFmtId="2" fontId="0" fillId="0" borderId="35" xfId="0" applyNumberFormat="1" applyBorder="1"/>
    <xf numFmtId="0" fontId="0" fillId="0" borderId="35" xfId="0" applyBorder="1"/>
    <xf numFmtId="10" fontId="0" fillId="0" borderId="35" xfId="3" applyNumberFormat="1" applyFont="1" applyBorder="1"/>
    <xf numFmtId="0" fontId="0" fillId="7" borderId="21" xfId="0" applyFill="1" applyBorder="1" applyAlignment="1">
      <alignment wrapText="1"/>
    </xf>
    <xf numFmtId="1" fontId="0" fillId="0" borderId="21" xfId="0" applyNumberFormat="1" applyBorder="1"/>
    <xf numFmtId="0" fontId="0" fillId="0" borderId="21" xfId="0" applyBorder="1"/>
    <xf numFmtId="9" fontId="0" fillId="0" borderId="21" xfId="0" applyNumberFormat="1" applyBorder="1"/>
    <xf numFmtId="0" fontId="122" fillId="0" borderId="21" xfId="0" applyFont="1" applyBorder="1"/>
    <xf numFmtId="0" fontId="122" fillId="0" borderId="18" xfId="0" applyFont="1" applyBorder="1"/>
    <xf numFmtId="0" fontId="122" fillId="0" borderId="13" xfId="0" applyFont="1" applyBorder="1"/>
    <xf numFmtId="0" fontId="0" fillId="0" borderId="76" xfId="0" applyBorder="1"/>
    <xf numFmtId="0" fontId="0" fillId="0" borderId="74" xfId="0" applyBorder="1"/>
    <xf numFmtId="179" fontId="0" fillId="0" borderId="14" xfId="0" applyNumberFormat="1" applyBorder="1"/>
    <xf numFmtId="0" fontId="0" fillId="7" borderId="74" xfId="0" applyFill="1" applyBorder="1" applyAlignment="1">
      <alignment wrapText="1"/>
    </xf>
    <xf numFmtId="177" fontId="0" fillId="6" borderId="12" xfId="0" applyNumberFormat="1" applyFill="1" applyBorder="1" applyAlignment="1">
      <alignment horizontal="center"/>
    </xf>
    <xf numFmtId="177" fontId="0" fillId="16" borderId="24" xfId="0" applyNumberFormat="1" applyFill="1" applyBorder="1" applyAlignment="1">
      <alignment horizontal="center"/>
    </xf>
    <xf numFmtId="0" fontId="0" fillId="6" borderId="32" xfId="0" applyFill="1" applyBorder="1"/>
    <xf numFmtId="0" fontId="0" fillId="6" borderId="32" xfId="0" applyFill="1" applyBorder="1" applyAlignment="1">
      <alignment wrapText="1"/>
    </xf>
    <xf numFmtId="44" fontId="0" fillId="6" borderId="14" xfId="2" applyFont="1" applyFill="1" applyBorder="1" applyProtection="1"/>
    <xf numFmtId="44" fontId="0" fillId="18" borderId="14" xfId="2" applyFont="1" applyFill="1" applyBorder="1" applyProtection="1"/>
    <xf numFmtId="173" fontId="0" fillId="6" borderId="14" xfId="0" applyNumberFormat="1" applyFill="1" applyBorder="1" applyAlignment="1">
      <alignment horizontal="center"/>
    </xf>
    <xf numFmtId="177" fontId="0" fillId="7" borderId="12" xfId="0" applyNumberFormat="1" applyFill="1" applyBorder="1" applyAlignment="1">
      <alignment horizontal="center"/>
    </xf>
    <xf numFmtId="44" fontId="0" fillId="18" borderId="2" xfId="2" applyFont="1" applyFill="1" applyBorder="1" applyProtection="1"/>
    <xf numFmtId="44" fontId="0" fillId="18" borderId="12" xfId="2" applyFont="1" applyFill="1" applyBorder="1" applyProtection="1"/>
    <xf numFmtId="44" fontId="59" fillId="16" borderId="34" xfId="2" applyFont="1" applyFill="1" applyBorder="1" applyAlignment="1" applyProtection="1">
      <alignment horizontal="center"/>
    </xf>
    <xf numFmtId="44" fontId="59" fillId="16" borderId="35" xfId="2" applyFont="1" applyFill="1" applyBorder="1" applyAlignment="1" applyProtection="1">
      <alignment horizontal="center"/>
    </xf>
    <xf numFmtId="44" fontId="59" fillId="16" borderId="36" xfId="2" applyFont="1" applyFill="1" applyBorder="1" applyAlignment="1" applyProtection="1">
      <alignment horizontal="center"/>
    </xf>
    <xf numFmtId="0" fontId="59" fillId="6" borderId="0" xfId="0" applyFont="1" applyFill="1" applyAlignment="1">
      <alignment horizontal="center"/>
    </xf>
    <xf numFmtId="0" fontId="0" fillId="6" borderId="14" xfId="0" applyFill="1" applyBorder="1"/>
    <xf numFmtId="0" fontId="0" fillId="6" borderId="14" xfId="0" applyFill="1" applyBorder="1" applyAlignment="1">
      <alignment wrapText="1"/>
    </xf>
    <xf numFmtId="0" fontId="0" fillId="2" borderId="14" xfId="0" applyFill="1" applyBorder="1" applyAlignment="1">
      <alignment horizontal="center" vertical="center"/>
    </xf>
    <xf numFmtId="0" fontId="56" fillId="2" borderId="32" xfId="0" applyFont="1" applyFill="1" applyBorder="1"/>
    <xf numFmtId="0" fontId="0" fillId="16" borderId="32" xfId="0" applyFill="1" applyBorder="1"/>
    <xf numFmtId="0" fontId="0" fillId="16" borderId="12" xfId="0" applyFill="1" applyBorder="1"/>
    <xf numFmtId="0" fontId="0" fillId="2" borderId="20" xfId="0" applyFill="1" applyBorder="1"/>
    <xf numFmtId="0" fontId="0" fillId="16" borderId="2" xfId="0" applyFill="1" applyBorder="1"/>
    <xf numFmtId="0" fontId="0" fillId="2" borderId="14" xfId="0" applyFill="1" applyBorder="1"/>
    <xf numFmtId="0" fontId="51" fillId="0" borderId="7" xfId="0" applyFont="1" applyBorder="1"/>
    <xf numFmtId="0" fontId="51" fillId="0" borderId="0" xfId="0" applyFont="1"/>
    <xf numFmtId="0" fontId="51" fillId="0" borderId="4" xfId="0" applyFont="1" applyBorder="1"/>
    <xf numFmtId="0" fontId="58" fillId="2" borderId="12" xfId="0" applyFont="1" applyFill="1" applyBorder="1"/>
    <xf numFmtId="0" fontId="59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4" fontId="0" fillId="16" borderId="14" xfId="0" applyNumberFormat="1" applyFill="1" applyBorder="1" applyAlignment="1">
      <alignment horizontal="center"/>
    </xf>
    <xf numFmtId="168" fontId="83" fillId="6" borderId="0" xfId="0" applyNumberFormat="1" applyFont="1" applyFill="1"/>
    <xf numFmtId="168" fontId="0" fillId="6" borderId="0" xfId="0" applyNumberFormat="1" applyFill="1"/>
    <xf numFmtId="0" fontId="56" fillId="2" borderId="1" xfId="0" applyFont="1" applyFill="1" applyBorder="1"/>
    <xf numFmtId="0" fontId="0" fillId="2" borderId="2" xfId="0" applyFill="1" applyBorder="1"/>
    <xf numFmtId="178" fontId="0" fillId="0" borderId="18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13" xfId="0" applyFill="1" applyBorder="1"/>
    <xf numFmtId="178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50" fillId="0" borderId="0" xfId="0" applyFont="1"/>
    <xf numFmtId="0" fontId="0" fillId="6" borderId="0" xfId="0" applyFill="1"/>
    <xf numFmtId="0" fontId="0" fillId="6" borderId="5" xfId="0" applyFill="1" applyBorder="1"/>
    <xf numFmtId="0" fontId="83" fillId="0" borderId="7" xfId="0" applyFont="1" applyBorder="1"/>
    <xf numFmtId="0" fontId="50" fillId="6" borderId="0" xfId="0" applyFont="1" applyFill="1"/>
    <xf numFmtId="0" fontId="0" fillId="2" borderId="59" xfId="0" applyFill="1" applyBorder="1"/>
    <xf numFmtId="0" fontId="59" fillId="0" borderId="32" xfId="0" applyFont="1" applyBorder="1" applyAlignment="1">
      <alignment horizontal="center"/>
    </xf>
    <xf numFmtId="44" fontId="59" fillId="6" borderId="0" xfId="2" applyFont="1" applyFill="1" applyBorder="1" applyAlignment="1" applyProtection="1">
      <alignment horizontal="center"/>
    </xf>
    <xf numFmtId="0" fontId="59" fillId="0" borderId="33" xfId="0" applyFont="1" applyBorder="1" applyAlignment="1">
      <alignment horizontal="center"/>
    </xf>
    <xf numFmtId="0" fontId="57" fillId="0" borderId="0" xfId="0" applyFont="1"/>
    <xf numFmtId="0" fontId="56" fillId="2" borderId="70" xfId="0" applyFont="1" applyFill="1" applyBorder="1"/>
    <xf numFmtId="0" fontId="0" fillId="2" borderId="64" xfId="0" applyFill="1" applyBorder="1"/>
    <xf numFmtId="0" fontId="0" fillId="2" borderId="65" xfId="0" applyFill="1" applyBorder="1"/>
    <xf numFmtId="0" fontId="56" fillId="2" borderId="12" xfId="0" applyFont="1" applyFill="1" applyBorder="1"/>
    <xf numFmtId="0" fontId="0" fillId="2" borderId="18" xfId="0" applyFill="1" applyBorder="1"/>
    <xf numFmtId="0" fontId="0" fillId="0" borderId="19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6" borderId="19" xfId="0" applyFill="1" applyBorder="1" applyAlignment="1">
      <alignment horizontal="right"/>
    </xf>
    <xf numFmtId="0" fontId="0" fillId="2" borderId="43" xfId="0" applyFill="1" applyBorder="1"/>
    <xf numFmtId="0" fontId="59" fillId="19" borderId="33" xfId="0" applyFont="1" applyFill="1" applyBorder="1" applyAlignment="1">
      <alignment horizontal="center"/>
    </xf>
    <xf numFmtId="0" fontId="0" fillId="16" borderId="13" xfId="0" applyFill="1" applyBorder="1"/>
    <xf numFmtId="44" fontId="59" fillId="6" borderId="58" xfId="2" applyFont="1" applyFill="1" applyBorder="1" applyAlignment="1" applyProtection="1">
      <alignment horizontal="center"/>
    </xf>
    <xf numFmtId="0" fontId="0" fillId="6" borderId="7" xfId="0" applyFill="1" applyBorder="1"/>
    <xf numFmtId="0" fontId="83" fillId="0" borderId="0" xfId="0" applyFont="1"/>
    <xf numFmtId="0" fontId="0" fillId="6" borderId="4" xfId="0" applyFill="1" applyBorder="1"/>
    <xf numFmtId="177" fontId="0" fillId="6" borderId="33" xfId="0" applyNumberFormat="1" applyFill="1" applyBorder="1" applyAlignment="1">
      <alignment horizontal="center"/>
    </xf>
    <xf numFmtId="0" fontId="0" fillId="20" borderId="14" xfId="0" applyFill="1" applyBorder="1"/>
    <xf numFmtId="173" fontId="0" fillId="20" borderId="14" xfId="0" applyNumberFormat="1" applyFill="1" applyBorder="1" applyAlignment="1">
      <alignment horizontal="center"/>
    </xf>
    <xf numFmtId="177" fontId="0" fillId="20" borderId="12" xfId="0" applyNumberFormat="1" applyFill="1" applyBorder="1" applyAlignment="1">
      <alignment horizontal="center"/>
    </xf>
    <xf numFmtId="0" fontId="0" fillId="20" borderId="75" xfId="0" applyFill="1" applyBorder="1"/>
    <xf numFmtId="0" fontId="0" fillId="20" borderId="21" xfId="0" applyFill="1" applyBorder="1"/>
    <xf numFmtId="0" fontId="0" fillId="8" borderId="0" xfId="0" applyFill="1"/>
    <xf numFmtId="0" fontId="61" fillId="0" borderId="4" xfId="0" applyFont="1" applyBorder="1"/>
    <xf numFmtId="0" fontId="61" fillId="0" borderId="0" xfId="0" applyFont="1" applyAlignment="1">
      <alignment horizontal="left"/>
    </xf>
    <xf numFmtId="0" fontId="61" fillId="0" borderId="0" xfId="0" applyFont="1"/>
    <xf numFmtId="0" fontId="53" fillId="0" borderId="0" xfId="0" applyFont="1"/>
    <xf numFmtId="0" fontId="0" fillId="2" borderId="0" xfId="0" applyFill="1"/>
    <xf numFmtId="0" fontId="0" fillId="6" borderId="43" xfId="0" applyFill="1" applyBorder="1"/>
    <xf numFmtId="0" fontId="0" fillId="6" borderId="79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80" xfId="0" applyBorder="1" applyAlignment="1">
      <alignment horizontal="center" vertical="center"/>
    </xf>
    <xf numFmtId="1" fontId="0" fillId="21" borderId="32" xfId="0" applyNumberFormat="1" applyFill="1" applyBorder="1" applyAlignment="1">
      <alignment horizontal="center"/>
    </xf>
    <xf numFmtId="173" fontId="0" fillId="21" borderId="14" xfId="0" applyNumberFormat="1" applyFill="1" applyBorder="1" applyAlignment="1">
      <alignment horizontal="center"/>
    </xf>
    <xf numFmtId="179" fontId="0" fillId="7" borderId="14" xfId="0" applyNumberFormat="1" applyFill="1" applyBorder="1" applyAlignment="1">
      <alignment horizontal="center"/>
    </xf>
    <xf numFmtId="10" fontId="0" fillId="7" borderId="33" xfId="3" applyNumberFormat="1" applyFont="1" applyFill="1" applyBorder="1" applyAlignment="1">
      <alignment horizontal="center"/>
    </xf>
    <xf numFmtId="179" fontId="0" fillId="7" borderId="32" xfId="0" applyNumberFormat="1" applyFill="1" applyBorder="1" applyAlignment="1">
      <alignment horizontal="center"/>
    </xf>
    <xf numFmtId="173" fontId="0" fillId="21" borderId="12" xfId="0" applyNumberFormat="1" applyFill="1" applyBorder="1" applyAlignment="1">
      <alignment horizontal="center"/>
    </xf>
    <xf numFmtId="179" fontId="125" fillId="7" borderId="80" xfId="0" applyNumberFormat="1" applyFont="1" applyFill="1" applyBorder="1" applyAlignment="1">
      <alignment horizontal="center"/>
    </xf>
    <xf numFmtId="1" fontId="0" fillId="21" borderId="81" xfId="0" applyNumberFormat="1" applyFill="1" applyBorder="1" applyAlignment="1">
      <alignment horizontal="center"/>
    </xf>
    <xf numFmtId="179" fontId="0" fillId="7" borderId="20" xfId="0" applyNumberFormat="1" applyFill="1" applyBorder="1" applyAlignment="1">
      <alignment horizontal="center"/>
    </xf>
    <xf numFmtId="0" fontId="0" fillId="0" borderId="82" xfId="0" applyBorder="1" applyAlignment="1">
      <alignment horizontal="center" vertical="center"/>
    </xf>
    <xf numFmtId="1" fontId="0" fillId="6" borderId="83" xfId="0" applyNumberFormat="1" applyFill="1" applyBorder="1"/>
    <xf numFmtId="173" fontId="0" fillId="6" borderId="76" xfId="0" applyNumberFormat="1" applyFill="1" applyBorder="1" applyAlignment="1">
      <alignment horizontal="center"/>
    </xf>
    <xf numFmtId="179" fontId="0" fillId="18" borderId="74" xfId="0" applyNumberFormat="1" applyFill="1" applyBorder="1" applyAlignment="1">
      <alignment horizontal="center"/>
    </xf>
    <xf numFmtId="10" fontId="0" fillId="18" borderId="84" xfId="3" applyNumberFormat="1" applyFont="1" applyFill="1" applyBorder="1" applyAlignment="1">
      <alignment horizontal="center"/>
    </xf>
    <xf numFmtId="179" fontId="0" fillId="6" borderId="31" xfId="0" applyNumberFormat="1" applyFill="1" applyBorder="1" applyAlignment="1">
      <alignment horizontal="center"/>
    </xf>
    <xf numFmtId="0" fontId="125" fillId="6" borderId="85" xfId="0" applyFont="1" applyFill="1" applyBorder="1"/>
    <xf numFmtId="0" fontId="0" fillId="0" borderId="7" xfId="0" applyBorder="1" applyAlignment="1">
      <alignment vertical="center" wrapText="1"/>
    </xf>
    <xf numFmtId="179" fontId="0" fillId="21" borderId="21" xfId="0" applyNumberFormat="1" applyFill="1" applyBorder="1" applyAlignment="1">
      <alignment horizontal="center"/>
    </xf>
    <xf numFmtId="0" fontId="0" fillId="6" borderId="31" xfId="0" applyFill="1" applyBorder="1"/>
    <xf numFmtId="0" fontId="0" fillId="16" borderId="24" xfId="0" applyFill="1" applyBorder="1" applyAlignment="1">
      <alignment horizontal="center" vertical="center"/>
    </xf>
    <xf numFmtId="1" fontId="0" fillId="16" borderId="88" xfId="0" applyNumberFormat="1" applyFill="1" applyBorder="1" applyAlignment="1">
      <alignment horizontal="center"/>
    </xf>
    <xf numFmtId="0" fontId="0" fillId="6" borderId="89" xfId="0" applyFill="1" applyBorder="1"/>
    <xf numFmtId="179" fontId="0" fillId="16" borderId="74" xfId="0" applyNumberFormat="1" applyFill="1" applyBorder="1" applyAlignment="1">
      <alignment horizontal="center"/>
    </xf>
    <xf numFmtId="10" fontId="0" fillId="6" borderId="24" xfId="3" applyNumberFormat="1" applyFont="1" applyFill="1" applyBorder="1" applyAlignment="1">
      <alignment horizontal="center"/>
    </xf>
    <xf numFmtId="179" fontId="0" fillId="16" borderId="88" xfId="0" applyNumberFormat="1" applyFill="1" applyBorder="1" applyAlignment="1">
      <alignment horizontal="center"/>
    </xf>
    <xf numFmtId="179" fontId="125" fillId="16" borderId="90" xfId="0" applyNumberFormat="1" applyFont="1" applyFill="1" applyBorder="1" applyAlignment="1">
      <alignment horizontal="center"/>
    </xf>
    <xf numFmtId="0" fontId="0" fillId="7" borderId="0" xfId="0" applyFill="1" applyAlignment="1">
      <alignment wrapText="1"/>
    </xf>
    <xf numFmtId="173" fontId="0" fillId="6" borderId="0" xfId="0" applyNumberFormat="1" applyFill="1" applyAlignment="1">
      <alignment horizontal="center"/>
    </xf>
    <xf numFmtId="0" fontId="47" fillId="0" borderId="0" xfId="0" applyFont="1"/>
    <xf numFmtId="173" fontId="0" fillId="18" borderId="14" xfId="0" applyNumberFormat="1" applyFill="1" applyBorder="1" applyAlignment="1">
      <alignment horizontal="center"/>
    </xf>
    <xf numFmtId="44" fontId="0" fillId="6" borderId="21" xfId="2" applyFont="1" applyFill="1" applyBorder="1" applyProtection="1"/>
    <xf numFmtId="178" fontId="0" fillId="0" borderId="6" xfId="0" applyNumberFormat="1" applyBorder="1" applyAlignment="1">
      <alignment horizontal="right"/>
    </xf>
    <xf numFmtId="0" fontId="56" fillId="6" borderId="0" xfId="0" applyFont="1" applyFill="1"/>
    <xf numFmtId="0" fontId="0" fillId="6" borderId="1" xfId="0" applyFill="1" applyBorder="1"/>
    <xf numFmtId="0" fontId="58" fillId="6" borderId="0" xfId="0" applyFont="1" applyFill="1"/>
    <xf numFmtId="0" fontId="0" fillId="6" borderId="0" xfId="0" applyFill="1" applyAlignment="1">
      <alignment vertical="top" wrapText="1"/>
    </xf>
    <xf numFmtId="10" fontId="55" fillId="2" borderId="18" xfId="0" applyNumberFormat="1" applyFont="1" applyFill="1" applyBorder="1" applyAlignment="1">
      <alignment horizontal="center"/>
    </xf>
    <xf numFmtId="10" fontId="55" fillId="2" borderId="14" xfId="0" applyNumberFormat="1" applyFont="1" applyFill="1" applyBorder="1" applyAlignment="1">
      <alignment horizontal="center"/>
    </xf>
    <xf numFmtId="177" fontId="0" fillId="18" borderId="24" xfId="0" applyNumberFormat="1" applyFill="1" applyBorder="1" applyAlignment="1">
      <alignment horizontal="center"/>
    </xf>
    <xf numFmtId="177" fontId="0" fillId="18" borderId="12" xfId="0" applyNumberFormat="1" applyFill="1" applyBorder="1" applyAlignment="1">
      <alignment horizontal="center"/>
    </xf>
    <xf numFmtId="9" fontId="0" fillId="18" borderId="0" xfId="0" applyNumberFormat="1" applyFill="1"/>
    <xf numFmtId="0" fontId="96" fillId="0" borderId="0" xfId="0" applyFont="1"/>
    <xf numFmtId="0" fontId="0" fillId="16" borderId="0" xfId="0" applyFill="1"/>
    <xf numFmtId="0" fontId="0" fillId="12" borderId="0" xfId="0" applyFill="1" applyAlignment="1">
      <alignment vertical="center"/>
    </xf>
    <xf numFmtId="14" fontId="60" fillId="12" borderId="14" xfId="0" applyNumberFormat="1" applyFont="1" applyFill="1" applyBorder="1" applyAlignment="1" applyProtection="1">
      <alignment vertical="center"/>
      <protection locked="0"/>
    </xf>
    <xf numFmtId="2" fontId="60" fillId="12" borderId="14" xfId="0" applyNumberFormat="1" applyFont="1" applyFill="1" applyBorder="1" applyAlignment="1" applyProtection="1">
      <alignment vertical="center"/>
      <protection locked="0"/>
    </xf>
    <xf numFmtId="2" fontId="60" fillId="12" borderId="12" xfId="0" applyNumberFormat="1" applyFont="1" applyFill="1" applyBorder="1" applyAlignment="1" applyProtection="1">
      <alignment vertical="center"/>
      <protection locked="0"/>
    </xf>
    <xf numFmtId="0" fontId="0" fillId="12" borderId="0" xfId="0" applyFill="1" applyAlignment="1">
      <alignment horizontal="left" vertical="center"/>
    </xf>
    <xf numFmtId="0" fontId="60" fillId="12" borderId="0" xfId="0" applyFont="1" applyFill="1" applyAlignment="1">
      <alignment horizontal="center" vertical="center" wrapText="1"/>
    </xf>
    <xf numFmtId="44" fontId="136" fillId="26" borderId="102" xfId="2" applyFont="1" applyFill="1" applyBorder="1" applyAlignment="1" applyProtection="1">
      <alignment vertical="top"/>
    </xf>
    <xf numFmtId="44" fontId="136" fillId="26" borderId="2" xfId="2" applyFont="1" applyFill="1" applyBorder="1" applyAlignment="1" applyProtection="1">
      <alignment vertical="top"/>
    </xf>
    <xf numFmtId="0" fontId="139" fillId="27" borderId="0" xfId="0" applyFont="1" applyFill="1" applyAlignment="1">
      <alignment horizontal="left"/>
    </xf>
    <xf numFmtId="4" fontId="59" fillId="28" borderId="14" xfId="0" applyNumberFormat="1" applyFont="1" applyFill="1" applyBorder="1" applyAlignment="1">
      <alignment horizontal="center"/>
    </xf>
    <xf numFmtId="4" fontId="65" fillId="17" borderId="21" xfId="0" applyNumberFormat="1" applyFont="1" applyFill="1" applyBorder="1" applyAlignment="1" applyProtection="1">
      <alignment horizontal="center"/>
      <protection locked="0"/>
    </xf>
    <xf numFmtId="181" fontId="59" fillId="16" borderId="0" xfId="0" applyNumberFormat="1" applyFont="1" applyFill="1" applyAlignment="1">
      <alignment horizontal="center"/>
    </xf>
    <xf numFmtId="0" fontId="70" fillId="0" borderId="0" xfId="0" applyFont="1"/>
    <xf numFmtId="10" fontId="59" fillId="0" borderId="0" xfId="3" applyNumberFormat="1" applyFont="1" applyBorder="1" applyAlignment="1" applyProtection="1">
      <alignment horizontal="center"/>
    </xf>
    <xf numFmtId="0" fontId="139" fillId="6" borderId="0" xfId="0" applyFont="1" applyFill="1" applyAlignment="1">
      <alignment horizontal="left"/>
    </xf>
    <xf numFmtId="0" fontId="67" fillId="16" borderId="0" xfId="1" applyFill="1" applyBorder="1" applyAlignment="1" applyProtection="1">
      <alignment horizontal="center"/>
    </xf>
    <xf numFmtId="0" fontId="56" fillId="2" borderId="6" xfId="0" applyFont="1" applyFill="1" applyBorder="1"/>
    <xf numFmtId="0" fontId="0" fillId="2" borderId="7" xfId="0" applyFill="1" applyBorder="1"/>
    <xf numFmtId="0" fontId="0" fillId="2" borderId="3" xfId="0" applyFill="1" applyBorder="1"/>
    <xf numFmtId="0" fontId="141" fillId="2" borderId="6" xfId="0" applyFont="1" applyFill="1" applyBorder="1"/>
    <xf numFmtId="49" fontId="0" fillId="2" borderId="7" xfId="0" applyNumberFormat="1" applyFill="1" applyBorder="1"/>
    <xf numFmtId="0" fontId="0" fillId="2" borderId="8" xfId="0" applyFill="1" applyBorder="1"/>
    <xf numFmtId="0" fontId="45" fillId="12" borderId="0" xfId="0" applyFont="1" applyFill="1"/>
    <xf numFmtId="0" fontId="45" fillId="11" borderId="0" xfId="0" applyFont="1" applyFill="1"/>
    <xf numFmtId="0" fontId="45" fillId="0" borderId="0" xfId="0" applyFont="1"/>
    <xf numFmtId="0" fontId="58" fillId="21" borderId="0" xfId="4" applyFont="1" applyFill="1" applyBorder="1" applyAlignment="1" applyProtection="1"/>
    <xf numFmtId="14" fontId="58" fillId="21" borderId="0" xfId="4" applyNumberFormat="1" applyFont="1" applyFill="1" applyBorder="1" applyProtection="1"/>
    <xf numFmtId="2" fontId="45" fillId="12" borderId="33" xfId="0" applyNumberFormat="1" applyFont="1" applyFill="1" applyBorder="1" applyProtection="1">
      <protection locked="0"/>
    </xf>
    <xf numFmtId="0" fontId="87" fillId="16" borderId="0" xfId="0" applyFont="1" applyFill="1" applyAlignment="1">
      <alignment horizontal="center"/>
    </xf>
    <xf numFmtId="0" fontId="87" fillId="23" borderId="0" xfId="0" applyFont="1" applyFill="1" applyAlignment="1">
      <alignment horizontal="center"/>
    </xf>
    <xf numFmtId="0" fontId="87" fillId="23" borderId="0" xfId="0" applyFont="1" applyFill="1" applyAlignment="1">
      <alignment horizontal="center" wrapText="1"/>
    </xf>
    <xf numFmtId="0" fontId="45" fillId="16" borderId="0" xfId="0" applyFont="1" applyFill="1"/>
    <xf numFmtId="0" fontId="45" fillId="26" borderId="0" xfId="0" applyFont="1" applyFill="1"/>
    <xf numFmtId="0" fontId="45" fillId="11" borderId="20" xfId="0" applyFont="1" applyFill="1" applyBorder="1"/>
    <xf numFmtId="0" fontId="142" fillId="16" borderId="0" xfId="0" applyFont="1" applyFill="1" applyAlignment="1">
      <alignment horizontal="left"/>
    </xf>
    <xf numFmtId="0" fontId="143" fillId="27" borderId="0" xfId="0" applyFont="1" applyFill="1" applyAlignment="1">
      <alignment horizontal="left"/>
    </xf>
    <xf numFmtId="0" fontId="142" fillId="27" borderId="0" xfId="0" applyFont="1" applyFill="1" applyAlignment="1">
      <alignment horizontal="left"/>
    </xf>
    <xf numFmtId="0" fontId="45" fillId="11" borderId="19" xfId="0" applyFont="1" applyFill="1" applyBorder="1"/>
    <xf numFmtId="49" fontId="45" fillId="12" borderId="77" xfId="0" applyNumberFormat="1" applyFont="1" applyFill="1" applyBorder="1" applyAlignment="1" applyProtection="1">
      <alignment horizontal="center"/>
      <protection locked="0"/>
    </xf>
    <xf numFmtId="1" fontId="45" fillId="12" borderId="8" xfId="0" applyNumberFormat="1" applyFont="1" applyFill="1" applyBorder="1" applyAlignment="1" applyProtection="1">
      <alignment horizontal="center"/>
      <protection locked="0"/>
    </xf>
    <xf numFmtId="165" fontId="45" fillId="12" borderId="8" xfId="0" applyNumberFormat="1" applyFont="1" applyFill="1" applyBorder="1" applyAlignment="1" applyProtection="1">
      <alignment horizontal="center"/>
      <protection locked="0"/>
    </xf>
    <xf numFmtId="4" fontId="45" fillId="12" borderId="8" xfId="0" applyNumberFormat="1" applyFont="1" applyFill="1" applyBorder="1" applyAlignment="1" applyProtection="1">
      <alignment horizontal="center"/>
      <protection locked="0"/>
    </xf>
    <xf numFmtId="4" fontId="45" fillId="12" borderId="14" xfId="0" applyNumberFormat="1" applyFont="1" applyFill="1" applyBorder="1" applyAlignment="1" applyProtection="1">
      <alignment horizontal="center"/>
      <protection locked="0"/>
    </xf>
    <xf numFmtId="4" fontId="45" fillId="12" borderId="21" xfId="0" applyNumberFormat="1" applyFont="1" applyFill="1" applyBorder="1" applyAlignment="1" applyProtection="1">
      <alignment horizontal="center"/>
      <protection locked="0"/>
    </xf>
    <xf numFmtId="4" fontId="45" fillId="16" borderId="0" xfId="0" applyNumberFormat="1" applyFont="1" applyFill="1" applyAlignment="1">
      <alignment horizontal="center"/>
    </xf>
    <xf numFmtId="4" fontId="64" fillId="16" borderId="14" xfId="0" applyNumberFormat="1" applyFont="1" applyFill="1" applyBorder="1" applyAlignment="1">
      <alignment horizontal="center"/>
    </xf>
    <xf numFmtId="4" fontId="69" fillId="16" borderId="14" xfId="0" applyNumberFormat="1" applyFont="1" applyFill="1" applyBorder="1" applyAlignment="1">
      <alignment horizontal="center"/>
    </xf>
    <xf numFmtId="4" fontId="74" fillId="16" borderId="14" xfId="0" applyNumberFormat="1" applyFont="1" applyFill="1" applyBorder="1" applyAlignment="1">
      <alignment horizontal="center"/>
    </xf>
    <xf numFmtId="4" fontId="45" fillId="16" borderId="14" xfId="0" applyNumberFormat="1" applyFont="1" applyFill="1" applyBorder="1" applyAlignment="1">
      <alignment horizontal="center"/>
    </xf>
    <xf numFmtId="49" fontId="45" fillId="12" borderId="32" xfId="0" applyNumberFormat="1" applyFont="1" applyFill="1" applyBorder="1" applyAlignment="1" applyProtection="1">
      <alignment horizontal="center"/>
      <protection locked="0"/>
    </xf>
    <xf numFmtId="49" fontId="45" fillId="12" borderId="13" xfId="0" applyNumberFormat="1" applyFont="1" applyFill="1" applyBorder="1" applyAlignment="1" applyProtection="1">
      <alignment horizontal="center"/>
      <protection locked="0"/>
    </xf>
    <xf numFmtId="165" fontId="45" fillId="12" borderId="13" xfId="0" applyNumberFormat="1" applyFont="1" applyFill="1" applyBorder="1" applyAlignment="1" applyProtection="1">
      <alignment horizontal="center"/>
      <protection locked="0"/>
    </xf>
    <xf numFmtId="1" fontId="45" fillId="12" borderId="13" xfId="0" applyNumberFormat="1" applyFont="1" applyFill="1" applyBorder="1" applyAlignment="1" applyProtection="1">
      <alignment horizontal="center"/>
      <protection locked="0"/>
    </xf>
    <xf numFmtId="4" fontId="45" fillId="12" borderId="13" xfId="0" applyNumberFormat="1" applyFont="1" applyFill="1" applyBorder="1" applyAlignment="1" applyProtection="1">
      <alignment horizontal="center"/>
      <protection locked="0"/>
    </xf>
    <xf numFmtId="0" fontId="45" fillId="11" borderId="21" xfId="0" applyFont="1" applyFill="1" applyBorder="1"/>
    <xf numFmtId="0" fontId="45" fillId="7" borderId="13" xfId="0" applyFont="1" applyFill="1" applyBorder="1" applyAlignment="1" applyProtection="1">
      <alignment horizontal="center"/>
      <protection locked="0"/>
    </xf>
    <xf numFmtId="165" fontId="45" fillId="17" borderId="13" xfId="0" applyNumberFormat="1" applyFont="1" applyFill="1" applyBorder="1" applyAlignment="1" applyProtection="1">
      <alignment horizontal="center"/>
      <protection locked="0"/>
    </xf>
    <xf numFmtId="4" fontId="45" fillId="0" borderId="0" xfId="0" applyNumberFormat="1" applyFont="1" applyAlignment="1">
      <alignment horizontal="center"/>
    </xf>
    <xf numFmtId="10" fontId="45" fillId="16" borderId="0" xfId="0" applyNumberFormat="1" applyFont="1" applyFill="1" applyAlignment="1">
      <alignment horizontal="center"/>
    </xf>
    <xf numFmtId="10" fontId="45" fillId="0" borderId="0" xfId="0" applyNumberFormat="1" applyFont="1" applyAlignment="1">
      <alignment horizontal="center"/>
    </xf>
    <xf numFmtId="0" fontId="70" fillId="16" borderId="0" xfId="0" applyFont="1" applyFill="1"/>
    <xf numFmtId="165" fontId="45" fillId="12" borderId="14" xfId="0" applyNumberFormat="1" applyFont="1" applyFill="1" applyBorder="1" applyAlignment="1" applyProtection="1">
      <alignment horizontal="center"/>
      <protection locked="0"/>
    </xf>
    <xf numFmtId="10" fontId="59" fillId="16" borderId="0" xfId="3" applyNumberFormat="1" applyFont="1" applyFill="1" applyBorder="1" applyAlignment="1" applyProtection="1">
      <alignment horizontal="center"/>
    </xf>
    <xf numFmtId="2" fontId="45" fillId="16" borderId="0" xfId="0" applyNumberFormat="1" applyFont="1" applyFill="1"/>
    <xf numFmtId="2" fontId="45" fillId="0" borderId="0" xfId="0" applyNumberFormat="1" applyFont="1"/>
    <xf numFmtId="0" fontId="139" fillId="16" borderId="0" xfId="0" applyFont="1" applyFill="1" applyAlignment="1">
      <alignment horizontal="left"/>
    </xf>
    <xf numFmtId="10" fontId="45" fillId="16" borderId="0" xfId="3" applyNumberFormat="1" applyFont="1" applyFill="1" applyBorder="1" applyAlignment="1" applyProtection="1">
      <alignment horizontal="center"/>
    </xf>
    <xf numFmtId="10" fontId="45" fillId="0" borderId="0" xfId="3" applyNumberFormat="1" applyFont="1" applyBorder="1" applyAlignment="1" applyProtection="1">
      <alignment horizontal="center"/>
    </xf>
    <xf numFmtId="4" fontId="45" fillId="12" borderId="20" xfId="0" applyNumberFormat="1" applyFont="1" applyFill="1" applyBorder="1" applyAlignment="1" applyProtection="1">
      <alignment horizontal="center"/>
      <protection locked="0"/>
    </xf>
    <xf numFmtId="1" fontId="45" fillId="12" borderId="14" xfId="0" applyNumberFormat="1" applyFont="1" applyFill="1" applyBorder="1" applyAlignment="1" applyProtection="1">
      <alignment horizontal="center"/>
      <protection locked="0"/>
    </xf>
    <xf numFmtId="4" fontId="45" fillId="16" borderId="0" xfId="0" applyNumberFormat="1" applyFont="1" applyFill="1"/>
    <xf numFmtId="181" fontId="64" fillId="16" borderId="14" xfId="0" applyNumberFormat="1" applyFont="1" applyFill="1" applyBorder="1" applyAlignment="1">
      <alignment horizontal="center"/>
    </xf>
    <xf numFmtId="181" fontId="69" fillId="16" borderId="14" xfId="0" applyNumberFormat="1" applyFont="1" applyFill="1" applyBorder="1" applyAlignment="1">
      <alignment horizontal="center"/>
    </xf>
    <xf numFmtId="181" fontId="74" fillId="16" borderId="14" xfId="0" applyNumberFormat="1" applyFont="1" applyFill="1" applyBorder="1" applyAlignment="1">
      <alignment horizontal="center"/>
    </xf>
    <xf numFmtId="177" fontId="61" fillId="16" borderId="1" xfId="0" applyNumberFormat="1" applyFont="1" applyFill="1" applyBorder="1" applyAlignment="1">
      <alignment horizontal="center"/>
    </xf>
    <xf numFmtId="14" fontId="0" fillId="18" borderId="14" xfId="0" applyNumberFormat="1" applyFill="1" applyBorder="1" applyAlignment="1">
      <alignment horizontal="center"/>
    </xf>
    <xf numFmtId="0" fontId="55" fillId="16" borderId="12" xfId="0" applyFont="1" applyFill="1" applyBorder="1"/>
    <xf numFmtId="0" fontId="44" fillId="6" borderId="0" xfId="0" applyFont="1" applyFill="1"/>
    <xf numFmtId="0" fontId="96" fillId="6" borderId="0" xfId="0" applyFont="1" applyFill="1"/>
    <xf numFmtId="10" fontId="45" fillId="6" borderId="60" xfId="3" applyNumberFormat="1" applyFont="1" applyFill="1" applyBorder="1" applyAlignment="1" applyProtection="1">
      <alignment horizontal="center"/>
    </xf>
    <xf numFmtId="0" fontId="64" fillId="0" borderId="0" xfId="0" applyFont="1"/>
    <xf numFmtId="165" fontId="43" fillId="12" borderId="14" xfId="0" applyNumberFormat="1" applyFont="1" applyFill="1" applyBorder="1" applyAlignment="1" applyProtection="1">
      <alignment horizontal="center"/>
      <protection locked="0"/>
    </xf>
    <xf numFmtId="10" fontId="55" fillId="6" borderId="19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4" fontId="70" fillId="16" borderId="14" xfId="0" applyNumberFormat="1" applyFont="1" applyFill="1" applyBorder="1" applyAlignment="1">
      <alignment horizontal="center"/>
    </xf>
    <xf numFmtId="4" fontId="80" fillId="16" borderId="14" xfId="0" applyNumberFormat="1" applyFont="1" applyFill="1" applyBorder="1" applyAlignment="1">
      <alignment horizontal="center"/>
    </xf>
    <xf numFmtId="4" fontId="81" fillId="16" borderId="14" xfId="0" applyNumberFormat="1" applyFont="1" applyFill="1" applyBorder="1" applyAlignment="1">
      <alignment horizontal="center"/>
    </xf>
    <xf numFmtId="0" fontId="59" fillId="21" borderId="9" xfId="0" applyFont="1" applyFill="1" applyBorder="1"/>
    <xf numFmtId="0" fontId="42" fillId="0" borderId="9" xfId="0" applyFont="1" applyBorder="1"/>
    <xf numFmtId="0" fontId="42" fillId="0" borderId="9" xfId="0" applyFont="1" applyBorder="1" applyAlignment="1">
      <alignment horizontal="center"/>
    </xf>
    <xf numFmtId="0" fontId="59" fillId="32" borderId="15" xfId="0" applyFont="1" applyFill="1" applyBorder="1" applyAlignment="1">
      <alignment horizontal="center"/>
    </xf>
    <xf numFmtId="0" fontId="42" fillId="0" borderId="11" xfId="0" applyFont="1" applyBorder="1" applyAlignment="1">
      <alignment horizontal="center"/>
    </xf>
    <xf numFmtId="165" fontId="0" fillId="6" borderId="0" xfId="3" applyNumberFormat="1" applyFont="1" applyFill="1"/>
    <xf numFmtId="0" fontId="0" fillId="19" borderId="11" xfId="0" applyFill="1" applyBorder="1"/>
    <xf numFmtId="0" fontId="56" fillId="32" borderId="11" xfId="0" applyFont="1" applyFill="1" applyBorder="1"/>
    <xf numFmtId="0" fontId="59" fillId="19" borderId="9" xfId="0" applyFont="1" applyFill="1" applyBorder="1"/>
    <xf numFmtId="0" fontId="53" fillId="3" borderId="7" xfId="0" applyFont="1" applyFill="1" applyBorder="1" applyAlignment="1" applyProtection="1">
      <alignment horizontal="center"/>
      <protection locked="0"/>
    </xf>
    <xf numFmtId="0" fontId="59" fillId="3" borderId="15" xfId="0" applyFont="1" applyFill="1" applyBorder="1" applyAlignment="1" applyProtection="1">
      <alignment horizontal="center"/>
      <protection locked="0"/>
    </xf>
    <xf numFmtId="14" fontId="53" fillId="3" borderId="14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64" fontId="53" fillId="3" borderId="14" xfId="0" applyNumberFormat="1" applyFont="1" applyFill="1" applyBorder="1" applyAlignment="1" applyProtection="1">
      <alignment horizontal="center"/>
      <protection locked="0"/>
    </xf>
    <xf numFmtId="173" fontId="0" fillId="7" borderId="14" xfId="0" applyNumberFormat="1" applyFill="1" applyBorder="1" applyAlignment="1">
      <alignment horizontal="center"/>
    </xf>
    <xf numFmtId="10" fontId="0" fillId="7" borderId="14" xfId="0" applyNumberFormat="1" applyFill="1" applyBorder="1" applyAlignment="1">
      <alignment horizontal="center"/>
    </xf>
    <xf numFmtId="0" fontId="0" fillId="18" borderId="14" xfId="0" applyFill="1" applyBorder="1" applyAlignment="1">
      <alignment vertical="top" wrapText="1"/>
    </xf>
    <xf numFmtId="167" fontId="0" fillId="17" borderId="14" xfId="0" applyNumberFormat="1" applyFill="1" applyBorder="1" applyProtection="1">
      <protection locked="0"/>
    </xf>
    <xf numFmtId="0" fontId="0" fillId="17" borderId="14" xfId="0" applyFill="1" applyBorder="1" applyProtection="1">
      <protection locked="0"/>
    </xf>
    <xf numFmtId="173" fontId="0" fillId="17" borderId="21" xfId="0" applyNumberFormat="1" applyFill="1" applyBorder="1" applyAlignment="1" applyProtection="1">
      <alignment horizontal="center"/>
      <protection locked="0"/>
    </xf>
    <xf numFmtId="173" fontId="0" fillId="17" borderId="14" xfId="0" applyNumberFormat="1" applyFill="1" applyBorder="1" applyAlignment="1" applyProtection="1">
      <alignment horizontal="center"/>
      <protection locked="0"/>
    </xf>
    <xf numFmtId="174" fontId="0" fillId="17" borderId="12" xfId="0" applyNumberFormat="1" applyFill="1" applyBorder="1" applyAlignment="1" applyProtection="1">
      <alignment horizontal="center"/>
      <protection locked="0"/>
    </xf>
    <xf numFmtId="175" fontId="0" fillId="17" borderId="14" xfId="0" applyNumberFormat="1" applyFill="1" applyBorder="1" applyProtection="1">
      <protection locked="0"/>
    </xf>
    <xf numFmtId="176" fontId="0" fillId="17" borderId="14" xfId="0" applyNumberFormat="1" applyFill="1" applyBorder="1" applyProtection="1">
      <protection locked="0"/>
    </xf>
    <xf numFmtId="44" fontId="0" fillId="17" borderId="12" xfId="2" applyFont="1" applyFill="1" applyBorder="1" applyProtection="1">
      <protection locked="0"/>
    </xf>
    <xf numFmtId="44" fontId="0" fillId="17" borderId="7" xfId="2" applyFont="1" applyFill="1" applyBorder="1" applyProtection="1">
      <protection locked="0"/>
    </xf>
    <xf numFmtId="177" fontId="0" fillId="17" borderId="12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4" xfId="0" applyFill="1" applyBorder="1"/>
    <xf numFmtId="0" fontId="48" fillId="2" borderId="4" xfId="0" applyFont="1" applyFill="1" applyBorder="1"/>
    <xf numFmtId="0" fontId="59" fillId="0" borderId="4" xfId="0" applyFont="1" applyBorder="1"/>
    <xf numFmtId="178" fontId="51" fillId="0" borderId="19" xfId="0" applyNumberFormat="1" applyFont="1" applyBorder="1"/>
    <xf numFmtId="0" fontId="51" fillId="0" borderId="19" xfId="0" applyFont="1" applyBorder="1"/>
    <xf numFmtId="0" fontId="49" fillId="0" borderId="4" xfId="0" applyFont="1" applyBorder="1"/>
    <xf numFmtId="0" fontId="0" fillId="0" borderId="19" xfId="0" applyBorder="1"/>
    <xf numFmtId="0" fontId="50" fillId="0" borderId="4" xfId="0" applyFont="1" applyBorder="1"/>
    <xf numFmtId="2" fontId="45" fillId="12" borderId="0" xfId="0" applyNumberFormat="1" applyFont="1" applyFill="1"/>
    <xf numFmtId="49" fontId="41" fillId="12" borderId="32" xfId="0" applyNumberFormat="1" applyFont="1" applyFill="1" applyBorder="1" applyAlignment="1" applyProtection="1">
      <alignment horizontal="center"/>
      <protection locked="0"/>
    </xf>
    <xf numFmtId="14" fontId="129" fillId="0" borderId="0" xfId="0" applyNumberFormat="1" applyFont="1"/>
    <xf numFmtId="0" fontId="113" fillId="0" borderId="0" xfId="0" applyFont="1"/>
    <xf numFmtId="0" fontId="69" fillId="0" borderId="0" xfId="0" applyFont="1"/>
    <xf numFmtId="14" fontId="130" fillId="0" borderId="0" xfId="0" applyNumberFormat="1" applyFont="1" applyProtection="1">
      <protection hidden="1"/>
    </xf>
    <xf numFmtId="14" fontId="99" fillId="0" borderId="0" xfId="0" applyNumberFormat="1" applyFont="1"/>
    <xf numFmtId="0" fontId="131" fillId="0" borderId="0" xfId="0" applyFont="1"/>
    <xf numFmtId="14" fontId="132" fillId="0" borderId="0" xfId="0" applyNumberFormat="1" applyFont="1"/>
    <xf numFmtId="14" fontId="45" fillId="0" borderId="0" xfId="0" applyNumberFormat="1" applyFont="1"/>
    <xf numFmtId="14" fontId="103" fillId="0" borderId="0" xfId="0" applyNumberFormat="1" applyFont="1"/>
    <xf numFmtId="0" fontId="98" fillId="0" borderId="0" xfId="0" applyFont="1"/>
    <xf numFmtId="9" fontId="129" fillId="0" borderId="0" xfId="3" applyFont="1" applyFill="1"/>
    <xf numFmtId="0" fontId="129" fillId="0" borderId="0" xfId="0" applyFont="1"/>
    <xf numFmtId="0" fontId="103" fillId="0" borderId="0" xfId="0" applyFont="1"/>
    <xf numFmtId="0" fontId="121" fillId="0" borderId="0" xfId="0" applyFont="1"/>
    <xf numFmtId="1" fontId="45" fillId="0" borderId="0" xfId="3" applyNumberFormat="1" applyFont="1" applyFill="1"/>
    <xf numFmtId="9" fontId="69" fillId="0" borderId="0" xfId="3" applyFont="1" applyFill="1"/>
    <xf numFmtId="0" fontId="140" fillId="0" borderId="0" xfId="0" applyFont="1"/>
    <xf numFmtId="0" fontId="73" fillId="0" borderId="0" xfId="0" applyFont="1"/>
    <xf numFmtId="0" fontId="99" fillId="0" borderId="0" xfId="0" applyFont="1"/>
    <xf numFmtId="9" fontId="45" fillId="0" borderId="0" xfId="3" applyFont="1" applyFill="1"/>
    <xf numFmtId="0" fontId="132" fillId="0" borderId="0" xfId="0" applyFont="1"/>
    <xf numFmtId="14" fontId="58" fillId="0" borderId="0" xfId="0" applyNumberFormat="1" applyFont="1"/>
    <xf numFmtId="0" fontId="56" fillId="2" borderId="13" xfId="0" applyFont="1" applyFill="1" applyBorder="1"/>
    <xf numFmtId="0" fontId="0" fillId="16" borderId="8" xfId="0" applyFill="1" applyBorder="1"/>
    <xf numFmtId="0" fontId="83" fillId="0" borderId="6" xfId="0" applyFont="1" applyBorder="1"/>
    <xf numFmtId="0" fontId="70" fillId="12" borderId="0" xfId="0" applyFont="1" applyFill="1"/>
    <xf numFmtId="14" fontId="98" fillId="0" borderId="0" xfId="0" applyNumberFormat="1" applyFont="1" applyProtection="1">
      <protection hidden="1"/>
    </xf>
    <xf numFmtId="14" fontId="108" fillId="0" borderId="0" xfId="0" applyNumberFormat="1" applyFont="1" applyProtection="1">
      <protection hidden="1"/>
    </xf>
    <xf numFmtId="14" fontId="71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0" fontId="113" fillId="0" borderId="0" xfId="0" applyFont="1" applyProtection="1">
      <protection hidden="1"/>
    </xf>
    <xf numFmtId="0" fontId="82" fillId="0" borderId="0" xfId="0" applyFont="1" applyProtection="1">
      <protection hidden="1"/>
    </xf>
    <xf numFmtId="0" fontId="117" fillId="0" borderId="0" xfId="0" applyFont="1" applyProtection="1">
      <protection hidden="1"/>
    </xf>
    <xf numFmtId="0" fontId="119" fillId="0" borderId="0" xfId="0" applyFont="1" applyProtection="1">
      <protection hidden="1"/>
    </xf>
    <xf numFmtId="0" fontId="55" fillId="0" borderId="0" xfId="0" applyFont="1" applyProtection="1">
      <protection hidden="1"/>
    </xf>
    <xf numFmtId="0" fontId="108" fillId="0" borderId="0" xfId="0" applyFont="1" applyProtection="1">
      <protection hidden="1"/>
    </xf>
    <xf numFmtId="0" fontId="123" fillId="0" borderId="0" xfId="0" applyFont="1" applyProtection="1">
      <protection hidden="1"/>
    </xf>
    <xf numFmtId="0" fontId="72" fillId="0" borderId="0" xfId="0" applyFont="1" applyProtection="1">
      <protection hidden="1"/>
    </xf>
    <xf numFmtId="0" fontId="73" fillId="0" borderId="0" xfId="0" applyFont="1" applyProtection="1">
      <protection hidden="1"/>
    </xf>
    <xf numFmtId="0" fontId="71" fillId="0" borderId="0" xfId="0" applyFont="1" applyProtection="1">
      <protection hidden="1"/>
    </xf>
    <xf numFmtId="0" fontId="63" fillId="0" borderId="0" xfId="0" applyFont="1" applyProtection="1">
      <protection hidden="1"/>
    </xf>
    <xf numFmtId="0" fontId="75" fillId="0" borderId="0" xfId="0" applyFont="1" applyProtection="1">
      <protection hidden="1"/>
    </xf>
    <xf numFmtId="0" fontId="110" fillId="0" borderId="0" xfId="0" applyFont="1" applyAlignment="1" applyProtection="1">
      <alignment horizontal="left"/>
      <protection hidden="1"/>
    </xf>
    <xf numFmtId="0" fontId="67" fillId="0" borderId="0" xfId="1" applyFill="1" applyBorder="1" applyAlignment="1" applyProtection="1">
      <alignment horizontal="center" wrapText="1"/>
      <protection hidden="1"/>
    </xf>
    <xf numFmtId="0" fontId="67" fillId="0" borderId="0" xfId="1" applyFill="1" applyBorder="1" applyAlignment="1" applyProtection="1">
      <protection hidden="1"/>
    </xf>
    <xf numFmtId="0" fontId="67" fillId="0" borderId="0" xfId="1" applyBorder="1" applyAlignment="1" applyProtection="1">
      <protection hidden="1"/>
    </xf>
    <xf numFmtId="0" fontId="77" fillId="0" borderId="0" xfId="0" applyFont="1" applyProtection="1">
      <protection hidden="1"/>
    </xf>
    <xf numFmtId="0" fontId="116" fillId="0" borderId="0" xfId="0" applyFont="1" applyProtection="1">
      <protection hidden="1"/>
    </xf>
    <xf numFmtId="0" fontId="0" fillId="6" borderId="0" xfId="0" applyFill="1" applyProtection="1">
      <protection hidden="1"/>
    </xf>
    <xf numFmtId="0" fontId="56" fillId="6" borderId="0" xfId="0" applyFont="1" applyFill="1" applyProtection="1">
      <protection hidden="1"/>
    </xf>
    <xf numFmtId="2" fontId="42" fillId="0" borderId="107" xfId="3" applyNumberFormat="1" applyFont="1" applyBorder="1" applyAlignment="1">
      <alignment horizontal="center"/>
    </xf>
    <xf numFmtId="2" fontId="42" fillId="0" borderId="70" xfId="0" applyNumberFormat="1" applyFont="1" applyBorder="1"/>
    <xf numFmtId="2" fontId="0" fillId="0" borderId="64" xfId="0" applyNumberFormat="1" applyBorder="1"/>
    <xf numFmtId="2" fontId="42" fillId="0" borderId="116" xfId="0" applyNumberFormat="1" applyFont="1" applyBorder="1"/>
    <xf numFmtId="165" fontId="42" fillId="0" borderId="113" xfId="0" applyNumberFormat="1" applyFont="1" applyBorder="1"/>
    <xf numFmtId="165" fontId="42" fillId="0" borderId="113" xfId="3" applyNumberFormat="1" applyFont="1" applyBorder="1" applyAlignment="1">
      <alignment horizontal="center"/>
    </xf>
    <xf numFmtId="165" fontId="42" fillId="17" borderId="79" xfId="3" applyNumberFormat="1" applyFont="1" applyFill="1" applyBorder="1" applyAlignment="1">
      <alignment horizontal="center"/>
    </xf>
    <xf numFmtId="165" fontId="42" fillId="0" borderId="114" xfId="0" applyNumberFormat="1" applyFont="1" applyBorder="1"/>
    <xf numFmtId="165" fontId="42" fillId="0" borderId="114" xfId="3" applyNumberFormat="1" applyFont="1" applyBorder="1" applyAlignment="1">
      <alignment horizontal="center"/>
    </xf>
    <xf numFmtId="165" fontId="42" fillId="17" borderId="80" xfId="3" applyNumberFormat="1" applyFont="1" applyFill="1" applyBorder="1" applyAlignment="1">
      <alignment horizontal="center"/>
    </xf>
    <xf numFmtId="165" fontId="42" fillId="0" borderId="114" xfId="3" applyNumberFormat="1" applyFont="1" applyBorder="1" applyAlignment="1">
      <alignment horizontal="center" wrapText="1"/>
    </xf>
    <xf numFmtId="165" fontId="59" fillId="27" borderId="9" xfId="0" applyNumberFormat="1" applyFont="1" applyFill="1" applyBorder="1"/>
    <xf numFmtId="165" fontId="76" fillId="27" borderId="9" xfId="0" applyNumberFormat="1" applyFont="1" applyFill="1" applyBorder="1" applyAlignment="1">
      <alignment horizontal="center"/>
    </xf>
    <xf numFmtId="165" fontId="59" fillId="18" borderId="15" xfId="3" applyNumberFormat="1" applyFont="1" applyFill="1" applyBorder="1" applyAlignment="1">
      <alignment horizontal="center"/>
    </xf>
    <xf numFmtId="165" fontId="59" fillId="0" borderId="31" xfId="0" applyNumberFormat="1" applyFont="1" applyBorder="1"/>
    <xf numFmtId="165" fontId="42" fillId="0" borderId="31" xfId="0" applyNumberFormat="1" applyFont="1" applyBorder="1" applyAlignment="1">
      <alignment horizontal="center"/>
    </xf>
    <xf numFmtId="165" fontId="42" fillId="17" borderId="43" xfId="0" applyNumberFormat="1" applyFont="1" applyFill="1" applyBorder="1" applyAlignment="1">
      <alignment horizontal="center"/>
    </xf>
    <xf numFmtId="165" fontId="42" fillId="17" borderId="90" xfId="0" applyNumberFormat="1" applyFont="1" applyFill="1" applyBorder="1" applyAlignment="1">
      <alignment horizontal="center"/>
    </xf>
    <xf numFmtId="165" fontId="59" fillId="0" borderId="9" xfId="0" applyNumberFormat="1" applyFont="1" applyBorder="1"/>
    <xf numFmtId="165" fontId="42" fillId="0" borderId="9" xfId="0" applyNumberFormat="1" applyFont="1" applyBorder="1" applyAlignment="1">
      <alignment horizontal="center"/>
    </xf>
    <xf numFmtId="165" fontId="42" fillId="17" borderId="15" xfId="0" applyNumberFormat="1" applyFont="1" applyFill="1" applyBorder="1" applyAlignment="1">
      <alignment horizontal="center"/>
    </xf>
    <xf numFmtId="165" fontId="65" fillId="18" borderId="15" xfId="0" applyNumberFormat="1" applyFont="1" applyFill="1" applyBorder="1" applyAlignment="1">
      <alignment horizontal="center"/>
    </xf>
    <xf numFmtId="165" fontId="42" fillId="0" borderId="107" xfId="3" applyNumberFormat="1" applyFont="1" applyBorder="1" applyAlignment="1">
      <alignment horizontal="center"/>
    </xf>
    <xf numFmtId="165" fontId="42" fillId="0" borderId="31" xfId="0" applyNumberFormat="1" applyFont="1" applyBorder="1"/>
    <xf numFmtId="165" fontId="0" fillId="0" borderId="0" xfId="0" applyNumberFormat="1"/>
    <xf numFmtId="165" fontId="42" fillId="0" borderId="79" xfId="0" applyNumberFormat="1" applyFont="1" applyBorder="1"/>
    <xf numFmtId="165" fontId="0" fillId="0" borderId="18" xfId="0" applyNumberFormat="1" applyBorder="1"/>
    <xf numFmtId="165" fontId="42" fillId="0" borderId="115" xfId="3" applyNumberFormat="1" applyFont="1" applyBorder="1" applyAlignment="1">
      <alignment horizontal="center" wrapText="1"/>
    </xf>
    <xf numFmtId="165" fontId="0" fillId="0" borderId="31" xfId="0" applyNumberFormat="1" applyBorder="1"/>
    <xf numFmtId="165" fontId="42" fillId="0" borderId="85" xfId="0" applyNumberFormat="1" applyFont="1" applyBorder="1"/>
    <xf numFmtId="165" fontId="76" fillId="27" borderId="60" xfId="0" applyNumberFormat="1" applyFont="1" applyFill="1" applyBorder="1" applyAlignment="1">
      <alignment horizontal="center"/>
    </xf>
    <xf numFmtId="165" fontId="59" fillId="16" borderId="9" xfId="0" applyNumberFormat="1" applyFont="1" applyFill="1" applyBorder="1"/>
    <xf numFmtId="165" fontId="0" fillId="16" borderId="10" xfId="0" applyNumberFormat="1" applyFill="1" applyBorder="1"/>
    <xf numFmtId="165" fontId="42" fillId="16" borderId="15" xfId="0" applyNumberFormat="1" applyFont="1" applyFill="1" applyBorder="1"/>
    <xf numFmtId="165" fontId="42" fillId="6" borderId="43" xfId="0" applyNumberFormat="1" applyFont="1" applyFill="1" applyBorder="1" applyAlignment="1">
      <alignment horizontal="center"/>
    </xf>
    <xf numFmtId="165" fontId="42" fillId="6" borderId="85" xfId="0" applyNumberFormat="1" applyFont="1" applyFill="1" applyBorder="1" applyAlignment="1">
      <alignment horizontal="center"/>
    </xf>
    <xf numFmtId="165" fontId="59" fillId="0" borderId="109" xfId="0" applyNumberFormat="1" applyFont="1" applyBorder="1"/>
    <xf numFmtId="165" fontId="0" fillId="0" borderId="110" xfId="0" applyNumberFormat="1" applyBorder="1"/>
    <xf numFmtId="165" fontId="42" fillId="16" borderId="15" xfId="3" applyNumberFormat="1" applyFont="1" applyFill="1" applyBorder="1"/>
    <xf numFmtId="165" fontId="0" fillId="6" borderId="108" xfId="0" applyNumberFormat="1" applyFill="1" applyBorder="1"/>
    <xf numFmtId="165" fontId="42" fillId="16" borderId="108" xfId="3" applyNumberFormat="1" applyFont="1" applyFill="1" applyBorder="1"/>
    <xf numFmtId="165" fontId="60" fillId="12" borderId="14" xfId="0" applyNumberFormat="1" applyFont="1" applyFill="1" applyBorder="1" applyAlignment="1" applyProtection="1">
      <alignment vertical="center"/>
      <protection locked="0"/>
    </xf>
    <xf numFmtId="0" fontId="42" fillId="0" borderId="0" xfId="0" applyFont="1"/>
    <xf numFmtId="0" fontId="59" fillId="0" borderId="0" xfId="0" applyFont="1" applyAlignment="1">
      <alignment horizontal="center"/>
    </xf>
    <xf numFmtId="10" fontId="42" fillId="0" borderId="0" xfId="0" applyNumberFormat="1" applyFont="1"/>
    <xf numFmtId="188" fontId="65" fillId="0" borderId="0" xfId="0" applyNumberFormat="1" applyFont="1" applyAlignment="1">
      <alignment horizontal="center"/>
    </xf>
    <xf numFmtId="10" fontId="42" fillId="0" borderId="0" xfId="3" applyNumberFormat="1" applyFont="1" applyFill="1" applyBorder="1"/>
    <xf numFmtId="0" fontId="83" fillId="0" borderId="0" xfId="0" applyFont="1" applyAlignment="1">
      <alignment wrapText="1"/>
    </xf>
    <xf numFmtId="0" fontId="0" fillId="0" borderId="0" xfId="0" applyAlignment="1">
      <alignment wrapText="1"/>
    </xf>
    <xf numFmtId="2" fontId="53" fillId="33" borderId="8" xfId="0" applyNumberFormat="1" applyFont="1" applyFill="1" applyBorder="1" applyAlignment="1" applyProtection="1">
      <alignment horizontal="center"/>
      <protection locked="0"/>
    </xf>
    <xf numFmtId="2" fontId="53" fillId="33" borderId="13" xfId="0" applyNumberFormat="1" applyFont="1" applyFill="1" applyBorder="1" applyAlignment="1" applyProtection="1">
      <alignment horizontal="center"/>
      <protection locked="0"/>
    </xf>
    <xf numFmtId="2" fontId="53" fillId="33" borderId="7" xfId="0" applyNumberFormat="1" applyFont="1" applyFill="1" applyBorder="1" applyAlignment="1" applyProtection="1">
      <alignment horizontal="center"/>
      <protection locked="0"/>
    </xf>
    <xf numFmtId="10" fontId="75" fillId="17" borderId="14" xfId="3" applyNumberFormat="1" applyFont="1" applyFill="1" applyBorder="1" applyAlignment="1" applyProtection="1">
      <alignment horizontal="center"/>
      <protection locked="0"/>
    </xf>
    <xf numFmtId="10" fontId="69" fillId="17" borderId="14" xfId="3" applyNumberFormat="1" applyFont="1" applyFill="1" applyBorder="1" applyAlignment="1">
      <alignment horizontal="center"/>
    </xf>
    <xf numFmtId="10" fontId="69" fillId="17" borderId="14" xfId="3" applyNumberFormat="1" applyFont="1" applyFill="1" applyBorder="1" applyAlignment="1">
      <alignment horizontal="center" wrapText="1"/>
    </xf>
    <xf numFmtId="0" fontId="40" fillId="17" borderId="14" xfId="0" applyFont="1" applyFill="1" applyBorder="1" applyAlignment="1">
      <alignment horizontal="center"/>
    </xf>
    <xf numFmtId="188" fontId="40" fillId="17" borderId="14" xfId="3" applyNumberFormat="1" applyFont="1" applyFill="1" applyBorder="1" applyAlignment="1">
      <alignment horizontal="center"/>
    </xf>
    <xf numFmtId="0" fontId="40" fillId="0" borderId="31" xfId="0" applyFont="1" applyBorder="1"/>
    <xf numFmtId="0" fontId="0" fillId="0" borderId="30" xfId="0" applyBorder="1"/>
    <xf numFmtId="3" fontId="0" fillId="0" borderId="0" xfId="0" applyNumberFormat="1"/>
    <xf numFmtId="164" fontId="0" fillId="0" borderId="0" xfId="0" applyNumberFormat="1"/>
    <xf numFmtId="0" fontId="60" fillId="0" borderId="31" xfId="0" applyFont="1" applyBorder="1"/>
    <xf numFmtId="164" fontId="60" fillId="34" borderId="0" xfId="0" applyNumberFormat="1" applyFont="1" applyFill="1"/>
    <xf numFmtId="189" fontId="66" fillId="0" borderId="30" xfId="0" applyNumberFormat="1" applyFont="1" applyBorder="1" applyAlignment="1">
      <alignment horizontal="left"/>
    </xf>
    <xf numFmtId="0" fontId="60" fillId="0" borderId="31" xfId="0" applyFont="1" applyBorder="1" applyAlignment="1">
      <alignment vertical="center"/>
    </xf>
    <xf numFmtId="164" fontId="60" fillId="34" borderId="0" xfId="0" applyNumberFormat="1" applyFont="1" applyFill="1" applyAlignment="1">
      <alignment vertical="center"/>
    </xf>
    <xf numFmtId="189" fontId="66" fillId="0" borderId="30" xfId="0" applyNumberFormat="1" applyFont="1" applyBorder="1" applyAlignment="1">
      <alignment horizontal="left" vertical="center" wrapText="1"/>
    </xf>
    <xf numFmtId="164" fontId="60" fillId="0" borderId="30" xfId="0" applyNumberFormat="1" applyFont="1" applyBorder="1"/>
    <xf numFmtId="0" fontId="60" fillId="0" borderId="61" xfId="0" applyFont="1" applyBorder="1"/>
    <xf numFmtId="164" fontId="60" fillId="27" borderId="62" xfId="0" applyNumberFormat="1" applyFont="1" applyFill="1" applyBorder="1"/>
    <xf numFmtId="190" fontId="60" fillId="6" borderId="6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164" fontId="149" fillId="0" borderId="10" xfId="0" applyNumberFormat="1" applyFont="1" applyBorder="1" applyAlignment="1">
      <alignment vertical="center"/>
    </xf>
    <xf numFmtId="190" fontId="150" fillId="8" borderId="11" xfId="0" applyNumberFormat="1" applyFon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0" fillId="16" borderId="0" xfId="0" applyNumberFormat="1" applyFill="1" applyAlignment="1">
      <alignment vertical="center"/>
    </xf>
    <xf numFmtId="188" fontId="0" fillId="16" borderId="0" xfId="3" applyNumberFormat="1" applyFont="1" applyFill="1"/>
    <xf numFmtId="9" fontId="0" fillId="0" borderId="0" xfId="0" applyNumberFormat="1"/>
    <xf numFmtId="0" fontId="64" fillId="0" borderId="31" xfId="0" applyFont="1" applyBorder="1"/>
    <xf numFmtId="14" fontId="55" fillId="8" borderId="0" xfId="0" applyNumberFormat="1" applyFont="1" applyFill="1"/>
    <xf numFmtId="14" fontId="108" fillId="8" borderId="0" xfId="0" applyNumberFormat="1" applyFont="1" applyFill="1"/>
    <xf numFmtId="14" fontId="71" fillId="8" borderId="0" xfId="0" applyNumberFormat="1" applyFont="1" applyFill="1"/>
    <xf numFmtId="14" fontId="0" fillId="8" borderId="0" xfId="0" applyNumberFormat="1" applyFill="1"/>
    <xf numFmtId="0" fontId="117" fillId="8" borderId="0" xfId="0" applyFont="1" applyFill="1"/>
    <xf numFmtId="0" fontId="55" fillId="8" borderId="0" xfId="0" applyFont="1" applyFill="1"/>
    <xf numFmtId="0" fontId="50" fillId="8" borderId="0" xfId="0" applyFont="1" applyFill="1"/>
    <xf numFmtId="0" fontId="83" fillId="8" borderId="0" xfId="0" applyFont="1" applyFill="1"/>
    <xf numFmtId="0" fontId="153" fillId="0" borderId="0" xfId="0" applyFont="1"/>
    <xf numFmtId="0" fontId="153" fillId="8" borderId="0" xfId="0" applyFont="1" applyFill="1"/>
    <xf numFmtId="6" fontId="0" fillId="8" borderId="0" xfId="0" applyNumberFormat="1" applyFill="1"/>
    <xf numFmtId="0" fontId="0" fillId="8" borderId="0" xfId="0" applyFill="1" applyAlignment="1">
      <alignment horizontal="left" vertical="top"/>
    </xf>
    <xf numFmtId="0" fontId="0" fillId="8" borderId="0" xfId="0" applyFill="1" applyAlignment="1">
      <alignment vertical="center"/>
    </xf>
    <xf numFmtId="0" fontId="96" fillId="8" borderId="0" xfId="0" applyFont="1" applyFill="1"/>
    <xf numFmtId="0" fontId="154" fillId="8" borderId="0" xfId="0" applyFont="1" applyFill="1"/>
    <xf numFmtId="0" fontId="155" fillId="8" borderId="0" xfId="0" applyFont="1" applyFill="1"/>
    <xf numFmtId="0" fontId="56" fillId="8" borderId="0" xfId="0" applyFont="1" applyFill="1"/>
    <xf numFmtId="0" fontId="144" fillId="8" borderId="0" xfId="0" applyFont="1" applyFill="1"/>
    <xf numFmtId="10" fontId="0" fillId="17" borderId="14" xfId="3" applyNumberFormat="1" applyFont="1" applyFill="1" applyBorder="1"/>
    <xf numFmtId="0" fontId="156" fillId="16" borderId="14" xfId="0" applyFont="1" applyFill="1" applyBorder="1"/>
    <xf numFmtId="10" fontId="156" fillId="16" borderId="14" xfId="0" applyNumberFormat="1" applyFont="1" applyFill="1" applyBorder="1"/>
    <xf numFmtId="10" fontId="55" fillId="16" borderId="0" xfId="0" applyNumberFormat="1" applyFont="1" applyFill="1"/>
    <xf numFmtId="0" fontId="0" fillId="6" borderId="2" xfId="0" applyFill="1" applyBorder="1"/>
    <xf numFmtId="0" fontId="64" fillId="6" borderId="0" xfId="0" applyFont="1" applyFill="1"/>
    <xf numFmtId="10" fontId="75" fillId="17" borderId="12" xfId="3" applyNumberFormat="1" applyFont="1" applyFill="1" applyBorder="1" applyAlignment="1" applyProtection="1">
      <alignment horizontal="center"/>
      <protection locked="0"/>
    </xf>
    <xf numFmtId="10" fontId="76" fillId="6" borderId="12" xfId="0" applyNumberFormat="1" applyFont="1" applyFill="1" applyBorder="1" applyAlignment="1">
      <alignment horizontal="center" wrapText="1"/>
    </xf>
    <xf numFmtId="10" fontId="75" fillId="17" borderId="1" xfId="3" applyNumberFormat="1" applyFont="1" applyFill="1" applyBorder="1" applyAlignment="1" applyProtection="1">
      <alignment horizontal="center"/>
      <protection locked="0"/>
    </xf>
    <xf numFmtId="10" fontId="75" fillId="12" borderId="12" xfId="3" applyNumberFormat="1" applyFont="1" applyFill="1" applyBorder="1" applyAlignment="1" applyProtection="1">
      <alignment horizontal="center"/>
      <protection locked="0"/>
    </xf>
    <xf numFmtId="10" fontId="75" fillId="17" borderId="6" xfId="3" applyNumberFormat="1" applyFont="1" applyFill="1" applyBorder="1" applyAlignment="1" applyProtection="1">
      <alignment horizontal="center"/>
      <protection locked="0"/>
    </xf>
    <xf numFmtId="0" fontId="56" fillId="6" borderId="4" xfId="0" applyFont="1" applyFill="1" applyBorder="1" applyAlignment="1">
      <alignment horizontal="center" vertical="center"/>
    </xf>
    <xf numFmtId="173" fontId="0" fillId="6" borderId="4" xfId="0" applyNumberFormat="1" applyFill="1" applyBorder="1" applyAlignment="1">
      <alignment horizontal="center"/>
    </xf>
    <xf numFmtId="10" fontId="76" fillId="6" borderId="4" xfId="0" applyNumberFormat="1" applyFont="1" applyFill="1" applyBorder="1" applyAlignment="1">
      <alignment horizontal="center" wrapText="1"/>
    </xf>
    <xf numFmtId="10" fontId="75" fillId="6" borderId="4" xfId="3" applyNumberFormat="1" applyFont="1" applyFill="1" applyBorder="1" applyAlignment="1" applyProtection="1">
      <alignment horizontal="center"/>
    </xf>
    <xf numFmtId="44" fontId="0" fillId="17" borderId="106" xfId="2" applyFont="1" applyFill="1" applyBorder="1" applyAlignment="1" applyProtection="1">
      <alignment vertical="center"/>
      <protection locked="0"/>
    </xf>
    <xf numFmtId="0" fontId="56" fillId="2" borderId="14" xfId="0" applyFont="1" applyFill="1" applyBorder="1" applyAlignment="1">
      <alignment vertical="center"/>
    </xf>
    <xf numFmtId="0" fontId="56" fillId="19" borderId="22" xfId="0" applyFont="1" applyFill="1" applyBorder="1" applyAlignment="1">
      <alignment vertical="center"/>
    </xf>
    <xf numFmtId="44" fontId="0" fillId="16" borderId="106" xfId="2" applyFont="1" applyFill="1" applyBorder="1" applyAlignment="1" applyProtection="1">
      <alignment vertical="center"/>
    </xf>
    <xf numFmtId="175" fontId="0" fillId="23" borderId="14" xfId="0" applyNumberFormat="1" applyFill="1" applyBorder="1" applyAlignment="1">
      <alignment horizontal="right"/>
    </xf>
    <xf numFmtId="0" fontId="0" fillId="16" borderId="14" xfId="0" applyFill="1" applyBorder="1" applyAlignment="1">
      <alignment horizontal="right"/>
    </xf>
    <xf numFmtId="0" fontId="58" fillId="8" borderId="0" xfId="0" applyFont="1" applyFill="1"/>
    <xf numFmtId="14" fontId="121" fillId="0" borderId="0" xfId="0" applyNumberFormat="1" applyFont="1"/>
    <xf numFmtId="14" fontId="123" fillId="0" borderId="0" xfId="0" applyNumberFormat="1" applyFont="1"/>
    <xf numFmtId="0" fontId="114" fillId="0" borderId="0" xfId="0" applyFont="1"/>
    <xf numFmtId="0" fontId="109" fillId="0" borderId="0" xfId="0" applyFont="1"/>
    <xf numFmtId="14" fontId="98" fillId="0" borderId="0" xfId="0" applyNumberFormat="1" applyFont="1"/>
    <xf numFmtId="0" fontId="112" fillId="0" borderId="0" xfId="0" applyFont="1"/>
    <xf numFmtId="0" fontId="107" fillId="0" borderId="0" xfId="0" applyFont="1"/>
    <xf numFmtId="0" fontId="120" fillId="0" borderId="0" xfId="0" applyFont="1"/>
    <xf numFmtId="0" fontId="110" fillId="0" borderId="0" xfId="0" applyFont="1" applyProtection="1">
      <protection hidden="1"/>
    </xf>
    <xf numFmtId="2" fontId="108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  <xf numFmtId="0" fontId="64" fillId="0" borderId="0" xfId="0" applyFont="1" applyAlignment="1" applyProtection="1">
      <alignment vertical="center"/>
      <protection hidden="1"/>
    </xf>
    <xf numFmtId="0" fontId="118" fillId="0" borderId="0" xfId="0" applyFont="1" applyAlignment="1" applyProtection="1">
      <alignment vertical="center"/>
      <protection hidden="1"/>
    </xf>
    <xf numFmtId="0" fontId="65" fillId="6" borderId="0" xfId="0" applyFont="1" applyFill="1"/>
    <xf numFmtId="0" fontId="54" fillId="6" borderId="0" xfId="0" applyFont="1" applyFill="1"/>
    <xf numFmtId="0" fontId="55" fillId="6" borderId="0" xfId="0" applyFont="1" applyFill="1"/>
    <xf numFmtId="0" fontId="68" fillId="6" borderId="0" xfId="0" applyFont="1" applyFill="1"/>
    <xf numFmtId="0" fontId="54" fillId="6" borderId="4" xfId="0" applyFont="1" applyFill="1" applyBorder="1"/>
    <xf numFmtId="0" fontId="54" fillId="6" borderId="5" xfId="0" applyFont="1" applyFill="1" applyBorder="1"/>
    <xf numFmtId="0" fontId="54" fillId="6" borderId="0" xfId="0" applyFont="1" applyFill="1" applyAlignment="1">
      <alignment horizontal="left"/>
    </xf>
    <xf numFmtId="0" fontId="67" fillId="0" borderId="0" xfId="1" applyAlignment="1" applyProtection="1"/>
    <xf numFmtId="0" fontId="60" fillId="6" borderId="4" xfId="0" applyFont="1" applyFill="1" applyBorder="1"/>
    <xf numFmtId="0" fontId="91" fillId="6" borderId="0" xfId="0" applyFont="1" applyFill="1"/>
    <xf numFmtId="0" fontId="60" fillId="6" borderId="1" xfId="0" applyFont="1" applyFill="1" applyBorder="1"/>
    <xf numFmtId="0" fontId="54" fillId="6" borderId="2" xfId="0" applyFont="1" applyFill="1" applyBorder="1"/>
    <xf numFmtId="0" fontId="54" fillId="6" borderId="3" xfId="0" applyFont="1" applyFill="1" applyBorder="1"/>
    <xf numFmtId="0" fontId="0" fillId="6" borderId="6" xfId="0" applyFill="1" applyBorder="1"/>
    <xf numFmtId="0" fontId="54" fillId="6" borderId="7" xfId="0" applyFont="1" applyFill="1" applyBorder="1"/>
    <xf numFmtId="0" fontId="54" fillId="6" borderId="8" xfId="0" applyFont="1" applyFill="1" applyBorder="1"/>
    <xf numFmtId="0" fontId="65" fillId="6" borderId="5" xfId="0" applyFont="1" applyFill="1" applyBorder="1"/>
    <xf numFmtId="0" fontId="57" fillId="6" borderId="4" xfId="0" applyFont="1" applyFill="1" applyBorder="1"/>
    <xf numFmtId="0" fontId="92" fillId="6" borderId="5" xfId="0" applyFont="1" applyFill="1" applyBorder="1"/>
    <xf numFmtId="0" fontId="54" fillId="6" borderId="6" xfId="0" applyFont="1" applyFill="1" applyBorder="1"/>
    <xf numFmtId="188" fontId="36" fillId="17" borderId="14" xfId="3" applyNumberFormat="1" applyFont="1" applyFill="1" applyBorder="1" applyAlignment="1">
      <alignment horizontal="center"/>
    </xf>
    <xf numFmtId="10" fontId="55" fillId="6" borderId="0" xfId="3" applyNumberFormat="1" applyFont="1" applyFill="1" applyBorder="1" applyAlignment="1" applyProtection="1">
      <alignment horizontal="left"/>
      <protection locked="0"/>
    </xf>
    <xf numFmtId="175" fontId="58" fillId="6" borderId="14" xfId="0" applyNumberFormat="1" applyFont="1" applyFill="1" applyBorder="1" applyAlignment="1">
      <alignment horizontal="right"/>
    </xf>
    <xf numFmtId="175" fontId="58" fillId="6" borderId="12" xfId="0" applyNumberFormat="1" applyFont="1" applyFill="1" applyBorder="1" applyAlignment="1">
      <alignment horizontal="right"/>
    </xf>
    <xf numFmtId="176" fontId="58" fillId="6" borderId="14" xfId="0" applyNumberFormat="1" applyFont="1" applyFill="1" applyBorder="1" applyAlignment="1">
      <alignment horizontal="right"/>
    </xf>
    <xf numFmtId="0" fontId="158" fillId="0" borderId="8" xfId="0" applyFont="1" applyBorder="1" applyAlignment="1">
      <alignment horizontal="right"/>
    </xf>
    <xf numFmtId="168" fontId="0" fillId="0" borderId="0" xfId="0" applyNumberFormat="1"/>
    <xf numFmtId="14" fontId="53" fillId="33" borderId="15" xfId="0" applyNumberFormat="1" applyFont="1" applyFill="1" applyBorder="1" applyAlignment="1" applyProtection="1">
      <alignment horizontal="center" vertical="center"/>
      <protection locked="0"/>
    </xf>
    <xf numFmtId="14" fontId="65" fillId="33" borderId="15" xfId="0" applyNumberFormat="1" applyFont="1" applyFill="1" applyBorder="1" applyAlignment="1" applyProtection="1">
      <alignment horizontal="center" vertical="center"/>
      <protection locked="0"/>
    </xf>
    <xf numFmtId="191" fontId="0" fillId="6" borderId="14" xfId="0" applyNumberFormat="1" applyFill="1" applyBorder="1" applyAlignment="1">
      <alignment vertical="top" wrapText="1"/>
    </xf>
    <xf numFmtId="191" fontId="0" fillId="18" borderId="14" xfId="0" applyNumberFormat="1" applyFill="1" applyBorder="1" applyAlignment="1">
      <alignment vertical="top" wrapText="1"/>
    </xf>
    <xf numFmtId="0" fontId="65" fillId="35" borderId="0" xfId="18" applyFill="1" applyAlignment="1">
      <alignment vertical="center" wrapText="1"/>
    </xf>
    <xf numFmtId="0" fontId="60" fillId="16" borderId="14" xfId="18" applyFont="1" applyFill="1" applyBorder="1" applyAlignment="1">
      <alignment horizontal="center" vertical="center" wrapText="1"/>
    </xf>
    <xf numFmtId="44" fontId="0" fillId="0" borderId="4" xfId="2" applyFont="1" applyBorder="1"/>
    <xf numFmtId="165" fontId="64" fillId="0" borderId="85" xfId="0" applyNumberFormat="1" applyFont="1" applyBorder="1"/>
    <xf numFmtId="1" fontId="0" fillId="17" borderId="21" xfId="0" applyNumberFormat="1" applyFill="1" applyBorder="1" applyAlignment="1" applyProtection="1">
      <alignment horizontal="center"/>
      <protection locked="0"/>
    </xf>
    <xf numFmtId="0" fontId="59" fillId="0" borderId="0" xfId="0" applyFont="1" applyAlignment="1">
      <alignment horizontal="right"/>
    </xf>
    <xf numFmtId="14" fontId="59" fillId="3" borderId="14" xfId="0" applyNumberFormat="1" applyFont="1" applyFill="1" applyBorder="1" applyAlignment="1" applyProtection="1">
      <alignment horizontal="center"/>
      <protection locked="0"/>
    </xf>
    <xf numFmtId="165" fontId="64" fillId="0" borderId="114" xfId="3" applyNumberFormat="1" applyFont="1" applyBorder="1" applyAlignment="1">
      <alignment horizontal="center" wrapText="1"/>
    </xf>
    <xf numFmtId="165" fontId="64" fillId="17" borderId="80" xfId="3" applyNumberFormat="1" applyFont="1" applyFill="1" applyBorder="1" applyAlignment="1">
      <alignment horizontal="center"/>
    </xf>
    <xf numFmtId="165" fontId="64" fillId="0" borderId="115" xfId="3" applyNumberFormat="1" applyFont="1" applyBorder="1" applyAlignment="1">
      <alignment horizontal="center" wrapText="1"/>
    </xf>
    <xf numFmtId="165" fontId="64" fillId="17" borderId="43" xfId="0" applyNumberFormat="1" applyFont="1" applyFill="1" applyBorder="1" applyAlignment="1">
      <alignment horizontal="center"/>
    </xf>
    <xf numFmtId="192" fontId="56" fillId="0" borderId="0" xfId="0" applyNumberFormat="1" applyFont="1"/>
    <xf numFmtId="14" fontId="33" fillId="0" borderId="20" xfId="0" applyNumberFormat="1" applyFont="1" applyBorder="1" applyAlignment="1">
      <alignment horizontal="center" vertical="top"/>
    </xf>
    <xf numFmtId="0" fontId="33" fillId="0" borderId="119" xfId="0" applyFont="1" applyBorder="1" applyAlignment="1">
      <alignment vertical="top"/>
    </xf>
    <xf numFmtId="0" fontId="33" fillId="0" borderId="119" xfId="0" applyFont="1" applyBorder="1" applyAlignment="1">
      <alignment vertical="top" wrapText="1"/>
    </xf>
    <xf numFmtId="0" fontId="33" fillId="0" borderId="120" xfId="0" applyFont="1" applyBorder="1" applyAlignment="1">
      <alignment vertical="top"/>
    </xf>
    <xf numFmtId="0" fontId="33" fillId="0" borderId="120" xfId="0" applyFont="1" applyBorder="1" applyAlignment="1">
      <alignment vertical="top" wrapText="1"/>
    </xf>
    <xf numFmtId="0" fontId="33" fillId="0" borderId="121" xfId="0" applyFont="1" applyBorder="1" applyAlignment="1">
      <alignment vertical="top" wrapText="1"/>
    </xf>
    <xf numFmtId="0" fontId="33" fillId="0" borderId="121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0" fontId="33" fillId="0" borderId="117" xfId="0" applyFont="1" applyBorder="1" applyAlignment="1">
      <alignment vertical="top" wrapText="1"/>
    </xf>
    <xf numFmtId="0" fontId="33" fillId="0" borderId="117" xfId="0" applyFont="1" applyBorder="1" applyAlignment="1">
      <alignment vertical="top"/>
    </xf>
    <xf numFmtId="0" fontId="33" fillId="0" borderId="118" xfId="0" applyFont="1" applyBorder="1" applyAlignment="1">
      <alignment vertical="top" wrapText="1"/>
    </xf>
    <xf numFmtId="0" fontId="33" fillId="0" borderId="118" xfId="0" applyFont="1" applyBorder="1" applyAlignment="1">
      <alignment vertical="top"/>
    </xf>
    <xf numFmtId="0" fontId="33" fillId="0" borderId="13" xfId="0" applyFont="1" applyBorder="1" applyAlignment="1">
      <alignment vertical="top"/>
    </xf>
    <xf numFmtId="0" fontId="65" fillId="35" borderId="0" xfId="18" applyFill="1" applyAlignment="1">
      <alignment horizontal="center" vertical="center" wrapText="1"/>
    </xf>
    <xf numFmtId="14" fontId="33" fillId="0" borderId="19" xfId="0" applyNumberFormat="1" applyFont="1" applyBorder="1" applyAlignment="1">
      <alignment horizontal="center" vertical="top"/>
    </xf>
    <xf numFmtId="14" fontId="33" fillId="0" borderId="21" xfId="0" applyNumberFormat="1" applyFont="1" applyBorder="1" applyAlignment="1">
      <alignment horizontal="center" vertical="top"/>
    </xf>
    <xf numFmtId="14" fontId="33" fillId="0" borderId="14" xfId="0" applyNumberFormat="1" applyFont="1" applyBorder="1" applyAlignment="1">
      <alignment horizontal="center" vertical="top"/>
    </xf>
    <xf numFmtId="14" fontId="33" fillId="6" borderId="14" xfId="0" applyNumberFormat="1" applyFont="1" applyFill="1" applyBorder="1" applyAlignment="1">
      <alignment horizontal="center" vertical="top" wrapText="1"/>
    </xf>
    <xf numFmtId="0" fontId="33" fillId="36" borderId="119" xfId="0" applyFont="1" applyFill="1" applyBorder="1" applyAlignment="1">
      <alignment vertical="top" wrapText="1"/>
    </xf>
    <xf numFmtId="0" fontId="33" fillId="36" borderId="119" xfId="0" applyFont="1" applyFill="1" applyBorder="1" applyAlignment="1">
      <alignment vertical="top"/>
    </xf>
    <xf numFmtId="0" fontId="33" fillId="36" borderId="120" xfId="0" applyFont="1" applyFill="1" applyBorder="1" applyAlignment="1">
      <alignment vertical="top" wrapText="1"/>
    </xf>
    <xf numFmtId="0" fontId="33" fillId="36" borderId="120" xfId="0" applyFont="1" applyFill="1" applyBorder="1" applyAlignment="1">
      <alignment vertical="top"/>
    </xf>
    <xf numFmtId="0" fontId="33" fillId="36" borderId="121" xfId="0" applyFont="1" applyFill="1" applyBorder="1" applyAlignment="1">
      <alignment vertical="top" wrapText="1"/>
    </xf>
    <xf numFmtId="0" fontId="33" fillId="36" borderId="121" xfId="0" applyFont="1" applyFill="1" applyBorder="1" applyAlignment="1">
      <alignment vertical="top"/>
    </xf>
    <xf numFmtId="14" fontId="33" fillId="36" borderId="20" xfId="0" applyNumberFormat="1" applyFont="1" applyFill="1" applyBorder="1" applyAlignment="1">
      <alignment horizontal="center" vertical="top"/>
    </xf>
    <xf numFmtId="14" fontId="33" fillId="36" borderId="19" xfId="0" applyNumberFormat="1" applyFont="1" applyFill="1" applyBorder="1" applyAlignment="1">
      <alignment horizontal="center" vertical="top"/>
    </xf>
    <xf numFmtId="14" fontId="33" fillId="36" borderId="21" xfId="0" applyNumberFormat="1" applyFont="1" applyFill="1" applyBorder="1" applyAlignment="1">
      <alignment horizontal="center" vertical="top"/>
    </xf>
    <xf numFmtId="9" fontId="0" fillId="16" borderId="14" xfId="3" applyFont="1" applyFill="1" applyBorder="1" applyProtection="1"/>
    <xf numFmtId="0" fontId="32" fillId="0" borderId="14" xfId="0" applyFont="1" applyBorder="1" applyAlignment="1">
      <alignment vertical="top" wrapText="1"/>
    </xf>
    <xf numFmtId="0" fontId="55" fillId="30" borderId="0" xfId="0" applyFont="1" applyFill="1"/>
    <xf numFmtId="0" fontId="65" fillId="17" borderId="123" xfId="0" applyFont="1" applyFill="1" applyBorder="1" applyAlignment="1" applyProtection="1">
      <alignment horizontal="left" wrapText="1"/>
      <protection hidden="1"/>
    </xf>
    <xf numFmtId="0" fontId="28" fillId="17" borderId="125" xfId="0" applyFont="1" applyFill="1" applyBorder="1" applyAlignment="1">
      <alignment horizontal="left" wrapText="1"/>
    </xf>
    <xf numFmtId="0" fontId="28" fillId="17" borderId="126" xfId="0" applyFont="1" applyFill="1" applyBorder="1" applyAlignment="1">
      <alignment horizontal="left" wrapText="1"/>
    </xf>
    <xf numFmtId="0" fontId="28" fillId="17" borderId="125" xfId="0" applyFont="1" applyFill="1" applyBorder="1" applyAlignment="1">
      <alignment horizontal="left"/>
    </xf>
    <xf numFmtId="0" fontId="28" fillId="17" borderId="126" xfId="0" applyFont="1" applyFill="1" applyBorder="1" applyAlignment="1">
      <alignment horizontal="left"/>
    </xf>
    <xf numFmtId="0" fontId="28" fillId="37" borderId="123" xfId="0" applyFont="1" applyFill="1" applyBorder="1" applyAlignment="1">
      <alignment horizontal="left" vertical="center" wrapText="1"/>
    </xf>
    <xf numFmtId="0" fontId="28" fillId="37" borderId="123" xfId="0" applyFont="1" applyFill="1" applyBorder="1" applyAlignment="1">
      <alignment horizontal="left" wrapText="1"/>
    </xf>
    <xf numFmtId="0" fontId="28" fillId="37" borderId="125" xfId="0" applyFont="1" applyFill="1" applyBorder="1" applyAlignment="1">
      <alignment horizontal="left" vertical="center" wrapText="1"/>
    </xf>
    <xf numFmtId="0" fontId="28" fillId="37" borderId="125" xfId="0" applyFont="1" applyFill="1" applyBorder="1" applyAlignment="1">
      <alignment horizontal="left" wrapText="1"/>
    </xf>
    <xf numFmtId="0" fontId="28" fillId="37" borderId="125" xfId="0" applyFont="1" applyFill="1" applyBorder="1" applyAlignment="1">
      <alignment horizontal="left"/>
    </xf>
    <xf numFmtId="0" fontId="28" fillId="37" borderId="126" xfId="0" applyFont="1" applyFill="1" applyBorder="1" applyAlignment="1">
      <alignment horizontal="left"/>
    </xf>
    <xf numFmtId="0" fontId="28" fillId="17" borderId="123" xfId="0" applyFont="1" applyFill="1" applyBorder="1" applyAlignment="1">
      <alignment horizontal="left" wrapText="1"/>
    </xf>
    <xf numFmtId="0" fontId="28" fillId="17" borderId="125" xfId="0" applyFont="1" applyFill="1" applyBorder="1" applyAlignment="1">
      <alignment horizontal="left" vertical="center" wrapText="1"/>
    </xf>
    <xf numFmtId="0" fontId="65" fillId="17" borderId="125" xfId="0" applyFont="1" applyFill="1" applyBorder="1" applyAlignment="1" applyProtection="1">
      <alignment horizontal="left" wrapText="1"/>
      <protection hidden="1"/>
    </xf>
    <xf numFmtId="0" fontId="28" fillId="17" borderId="126" xfId="0" applyFont="1" applyFill="1" applyBorder="1" applyAlignment="1">
      <alignment horizontal="left" vertical="center" wrapText="1"/>
    </xf>
    <xf numFmtId="0" fontId="56" fillId="8" borderId="11" xfId="0" applyFont="1" applyFill="1" applyBorder="1"/>
    <xf numFmtId="164" fontId="55" fillId="8" borderId="0" xfId="0" applyNumberFormat="1" applyFont="1" applyFill="1"/>
    <xf numFmtId="0" fontId="60" fillId="7" borderId="9" xfId="17" applyFont="1" applyFill="1" applyBorder="1" applyAlignment="1" applyProtection="1">
      <alignment vertical="center"/>
    </xf>
    <xf numFmtId="0" fontId="60" fillId="7" borderId="10" xfId="17" applyFont="1" applyFill="1" applyBorder="1" applyAlignment="1" applyProtection="1">
      <alignment vertical="center"/>
    </xf>
    <xf numFmtId="49" fontId="27" fillId="12" borderId="32" xfId="0" applyNumberFormat="1" applyFont="1" applyFill="1" applyBorder="1" applyAlignment="1" applyProtection="1">
      <alignment horizontal="center"/>
      <protection locked="0"/>
    </xf>
    <xf numFmtId="44" fontId="0" fillId="0" borderId="0" xfId="2" applyFont="1" applyFill="1" applyBorder="1"/>
    <xf numFmtId="44" fontId="0" fillId="0" borderId="0" xfId="2" applyFont="1"/>
    <xf numFmtId="14" fontId="0" fillId="0" borderId="7" xfId="0" applyNumberFormat="1" applyBorder="1"/>
    <xf numFmtId="14" fontId="0" fillId="0" borderId="21" xfId="0" applyNumberFormat="1" applyBorder="1"/>
    <xf numFmtId="44" fontId="0" fillId="0" borderId="19" xfId="2" applyFont="1" applyBorder="1"/>
    <xf numFmtId="14" fontId="117" fillId="0" borderId="14" xfId="0" applyNumberFormat="1" applyFont="1" applyBorder="1"/>
    <xf numFmtId="0" fontId="117" fillId="0" borderId="14" xfId="0" applyFont="1" applyBorder="1"/>
    <xf numFmtId="0" fontId="56" fillId="0" borderId="59" xfId="0" applyFont="1" applyBorder="1"/>
    <xf numFmtId="0" fontId="56" fillId="0" borderId="58" xfId="0" applyFont="1" applyBorder="1"/>
    <xf numFmtId="0" fontId="0" fillId="0" borderId="58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32" borderId="14" xfId="0" applyFill="1" applyBorder="1"/>
    <xf numFmtId="0" fontId="0" fillId="36" borderId="14" xfId="0" applyFill="1" applyBorder="1"/>
    <xf numFmtId="0" fontId="0" fillId="30" borderId="14" xfId="0" applyFill="1" applyBorder="1"/>
    <xf numFmtId="0" fontId="0" fillId="23" borderId="14" xfId="0" applyFill="1" applyBorder="1"/>
    <xf numFmtId="0" fontId="0" fillId="38" borderId="14" xfId="0" applyFill="1" applyBorder="1"/>
    <xf numFmtId="0" fontId="0" fillId="0" borderId="32" xfId="0" applyBorder="1"/>
    <xf numFmtId="0" fontId="0" fillId="0" borderId="33" xfId="0" applyBorder="1"/>
    <xf numFmtId="0" fontId="0" fillId="32" borderId="32" xfId="0" applyFill="1" applyBorder="1"/>
    <xf numFmtId="0" fontId="0" fillId="30" borderId="33" xfId="0" applyFill="1" applyBorder="1"/>
    <xf numFmtId="0" fontId="0" fillId="18" borderId="32" xfId="0" applyFill="1" applyBorder="1"/>
    <xf numFmtId="0" fontId="0" fillId="23" borderId="33" xfId="0" applyFill="1" applyBorder="1"/>
    <xf numFmtId="0" fontId="0" fillId="0" borderId="36" xfId="0" applyBorder="1"/>
    <xf numFmtId="0" fontId="0" fillId="18" borderId="88" xfId="0" applyFill="1" applyBorder="1"/>
    <xf numFmtId="0" fontId="0" fillId="36" borderId="74" xfId="0" applyFill="1" applyBorder="1"/>
    <xf numFmtId="49" fontId="25" fillId="12" borderId="32" xfId="0" applyNumberFormat="1" applyFont="1" applyFill="1" applyBorder="1" applyAlignment="1" applyProtection="1">
      <alignment horizontal="center"/>
      <protection locked="0"/>
    </xf>
    <xf numFmtId="4" fontId="45" fillId="30" borderId="14" xfId="0" applyNumberFormat="1" applyFont="1" applyFill="1" applyBorder="1" applyAlignment="1">
      <alignment horizontal="center"/>
    </xf>
    <xf numFmtId="4" fontId="70" fillId="30" borderId="14" xfId="0" applyNumberFormat="1" applyFont="1" applyFill="1" applyBorder="1" applyAlignment="1">
      <alignment horizontal="center"/>
    </xf>
    <xf numFmtId="4" fontId="64" fillId="30" borderId="14" xfId="0" applyNumberFormat="1" applyFont="1" applyFill="1" applyBorder="1" applyAlignment="1">
      <alignment horizontal="center"/>
    </xf>
    <xf numFmtId="4" fontId="80" fillId="30" borderId="14" xfId="0" applyNumberFormat="1" applyFont="1" applyFill="1" applyBorder="1" applyAlignment="1">
      <alignment horizontal="center"/>
    </xf>
    <xf numFmtId="4" fontId="69" fillId="30" borderId="14" xfId="0" applyNumberFormat="1" applyFont="1" applyFill="1" applyBorder="1" applyAlignment="1">
      <alignment horizontal="center"/>
    </xf>
    <xf numFmtId="4" fontId="81" fillId="30" borderId="14" xfId="0" applyNumberFormat="1" applyFont="1" applyFill="1" applyBorder="1" applyAlignment="1">
      <alignment horizontal="center"/>
    </xf>
    <xf numFmtId="4" fontId="74" fillId="30" borderId="14" xfId="0" applyNumberFormat="1" applyFont="1" applyFill="1" applyBorder="1" applyAlignment="1">
      <alignment horizontal="center"/>
    </xf>
    <xf numFmtId="4" fontId="59" fillId="30" borderId="14" xfId="0" applyNumberFormat="1" applyFont="1" applyFill="1" applyBorder="1" applyAlignment="1">
      <alignment horizontal="center"/>
    </xf>
    <xf numFmtId="4" fontId="70" fillId="39" borderId="14" xfId="0" applyNumberFormat="1" applyFont="1" applyFill="1" applyBorder="1" applyAlignment="1">
      <alignment horizontal="center"/>
    </xf>
    <xf numFmtId="4" fontId="64" fillId="39" borderId="14" xfId="0" applyNumberFormat="1" applyFont="1" applyFill="1" applyBorder="1" applyAlignment="1">
      <alignment horizontal="center"/>
    </xf>
    <xf numFmtId="4" fontId="80" fillId="39" borderId="14" xfId="0" applyNumberFormat="1" applyFont="1" applyFill="1" applyBorder="1" applyAlignment="1">
      <alignment horizontal="center"/>
    </xf>
    <xf numFmtId="4" fontId="69" fillId="39" borderId="14" xfId="0" applyNumberFormat="1" applyFont="1" applyFill="1" applyBorder="1" applyAlignment="1">
      <alignment horizontal="center"/>
    </xf>
    <xf numFmtId="4" fontId="81" fillId="39" borderId="14" xfId="0" applyNumberFormat="1" applyFont="1" applyFill="1" applyBorder="1" applyAlignment="1">
      <alignment horizontal="center"/>
    </xf>
    <xf numFmtId="4" fontId="74" fillId="39" borderId="14" xfId="0" applyNumberFormat="1" applyFont="1" applyFill="1" applyBorder="1" applyAlignment="1">
      <alignment horizontal="center"/>
    </xf>
    <xf numFmtId="4" fontId="45" fillId="39" borderId="14" xfId="0" applyNumberFormat="1" applyFont="1" applyFill="1" applyBorder="1" applyAlignment="1">
      <alignment horizontal="center"/>
    </xf>
    <xf numFmtId="4" fontId="59" fillId="39" borderId="14" xfId="0" applyNumberFormat="1" applyFont="1" applyFill="1" applyBorder="1" applyAlignment="1">
      <alignment horizontal="center"/>
    </xf>
    <xf numFmtId="0" fontId="64" fillId="12" borderId="0" xfId="0" applyFont="1" applyFill="1"/>
    <xf numFmtId="0" fontId="55" fillId="12" borderId="0" xfId="0" applyFont="1" applyFill="1" applyAlignment="1">
      <alignment vertical="center"/>
    </xf>
    <xf numFmtId="2" fontId="64" fillId="12" borderId="0" xfId="0" applyNumberFormat="1" applyFont="1" applyFill="1"/>
    <xf numFmtId="0" fontId="55" fillId="12" borderId="0" xfId="0" applyFont="1" applyFill="1" applyAlignment="1">
      <alignment horizontal="left" vertical="center"/>
    </xf>
    <xf numFmtId="0" fontId="70" fillId="12" borderId="0" xfId="0" applyFont="1" applyFill="1" applyAlignment="1">
      <alignment horizontal="center" vertical="center" wrapText="1"/>
    </xf>
    <xf numFmtId="0" fontId="161" fillId="12" borderId="0" xfId="0" applyFont="1" applyFill="1" applyAlignment="1">
      <alignment horizontal="center" vertical="center" wrapText="1"/>
    </xf>
    <xf numFmtId="0" fontId="64" fillId="26" borderId="0" xfId="0" applyFont="1" applyFill="1"/>
    <xf numFmtId="4" fontId="70" fillId="28" borderId="0" xfId="0" applyNumberFormat="1" applyFont="1" applyFill="1" applyAlignment="1">
      <alignment horizontal="center"/>
    </xf>
    <xf numFmtId="4" fontId="70" fillId="39" borderId="0" xfId="0" applyNumberFormat="1" applyFont="1" applyFill="1" applyAlignment="1">
      <alignment horizontal="center"/>
    </xf>
    <xf numFmtId="181" fontId="70" fillId="16" borderId="0" xfId="0" applyNumberFormat="1" applyFont="1" applyFill="1" applyAlignment="1">
      <alignment horizontal="center"/>
    </xf>
    <xf numFmtId="4" fontId="70" fillId="30" borderId="0" xfId="0" applyNumberFormat="1" applyFont="1" applyFill="1" applyAlignment="1">
      <alignment horizontal="center"/>
    </xf>
    <xf numFmtId="10" fontId="70" fillId="0" borderId="0" xfId="3" applyNumberFormat="1" applyFont="1" applyBorder="1" applyAlignment="1" applyProtection="1">
      <alignment horizontal="center"/>
    </xf>
    <xf numFmtId="10" fontId="64" fillId="0" borderId="0" xfId="3" applyNumberFormat="1" applyFont="1" applyBorder="1" applyAlignment="1" applyProtection="1">
      <alignment horizontal="center"/>
    </xf>
    <xf numFmtId="0" fontId="115" fillId="16" borderId="0" xfId="1" applyFont="1" applyFill="1" applyBorder="1" applyAlignment="1" applyProtection="1">
      <alignment horizontal="center"/>
    </xf>
    <xf numFmtId="0" fontId="69" fillId="12" borderId="0" xfId="0" applyFont="1" applyFill="1"/>
    <xf numFmtId="0" fontId="75" fillId="12" borderId="0" xfId="0" applyFont="1" applyFill="1" applyAlignment="1">
      <alignment vertical="center"/>
    </xf>
    <xf numFmtId="2" fontId="69" fillId="12" borderId="0" xfId="0" applyNumberFormat="1" applyFont="1" applyFill="1"/>
    <xf numFmtId="0" fontId="75" fillId="12" borderId="0" xfId="0" applyFont="1" applyFill="1" applyAlignment="1">
      <alignment horizontal="left" vertical="center"/>
    </xf>
    <xf numFmtId="0" fontId="80" fillId="12" borderId="0" xfId="0" applyFont="1" applyFill="1" applyAlignment="1">
      <alignment horizontal="center" vertical="center" wrapText="1"/>
    </xf>
    <xf numFmtId="0" fontId="162" fillId="12" borderId="0" xfId="0" applyFont="1" applyFill="1" applyAlignment="1">
      <alignment horizontal="center" vertical="center" wrapText="1"/>
    </xf>
    <xf numFmtId="0" fontId="69" fillId="26" borderId="0" xfId="0" applyFont="1" applyFill="1"/>
    <xf numFmtId="4" fontId="80" fillId="28" borderId="0" xfId="0" applyNumberFormat="1" applyFont="1" applyFill="1" applyAlignment="1">
      <alignment horizontal="center"/>
    </xf>
    <xf numFmtId="4" fontId="80" fillId="39" borderId="0" xfId="0" applyNumberFormat="1" applyFont="1" applyFill="1" applyAlignment="1">
      <alignment horizontal="center"/>
    </xf>
    <xf numFmtId="181" fontId="80" fillId="16" borderId="0" xfId="0" applyNumberFormat="1" applyFont="1" applyFill="1" applyAlignment="1">
      <alignment horizontal="center"/>
    </xf>
    <xf numFmtId="0" fontId="80" fillId="0" borderId="0" xfId="0" applyFont="1"/>
    <xf numFmtId="4" fontId="80" fillId="30" borderId="0" xfId="0" applyNumberFormat="1" applyFont="1" applyFill="1" applyAlignment="1">
      <alignment horizontal="center"/>
    </xf>
    <xf numFmtId="10" fontId="80" fillId="0" borderId="0" xfId="3" applyNumberFormat="1" applyFont="1" applyBorder="1" applyAlignment="1" applyProtection="1">
      <alignment horizontal="center"/>
    </xf>
    <xf numFmtId="0" fontId="143" fillId="6" borderId="0" xfId="0" applyFont="1" applyFill="1" applyAlignment="1">
      <alignment horizontal="left"/>
    </xf>
    <xf numFmtId="10" fontId="69" fillId="0" borderId="0" xfId="3" applyNumberFormat="1" applyFont="1" applyBorder="1" applyAlignment="1" applyProtection="1">
      <alignment horizontal="center"/>
    </xf>
    <xf numFmtId="0" fontId="163" fillId="16" borderId="0" xfId="1" applyFont="1" applyFill="1" applyBorder="1" applyAlignment="1" applyProtection="1">
      <alignment horizontal="center"/>
    </xf>
    <xf numFmtId="0" fontId="99" fillId="12" borderId="0" xfId="0" applyFont="1" applyFill="1"/>
    <xf numFmtId="0" fontId="101" fillId="12" borderId="0" xfId="0" applyFont="1" applyFill="1" applyAlignment="1">
      <alignment vertical="center"/>
    </xf>
    <xf numFmtId="2" fontId="99" fillId="12" borderId="0" xfId="0" applyNumberFormat="1" applyFont="1" applyFill="1"/>
    <xf numFmtId="0" fontId="101" fillId="12" borderId="0" xfId="0" applyFont="1" applyFill="1" applyAlignment="1">
      <alignment horizontal="left" vertical="center"/>
    </xf>
    <xf numFmtId="0" fontId="100" fillId="12" borderId="0" xfId="0" applyFont="1" applyFill="1" applyAlignment="1">
      <alignment horizontal="center" vertical="center" wrapText="1"/>
    </xf>
    <xf numFmtId="0" fontId="164" fillId="12" borderId="0" xfId="0" applyFont="1" applyFill="1" applyAlignment="1">
      <alignment horizontal="center" vertical="center" wrapText="1"/>
    </xf>
    <xf numFmtId="0" fontId="99" fillId="26" borderId="0" xfId="0" applyFont="1" applyFill="1"/>
    <xf numFmtId="0" fontId="165" fillId="27" borderId="0" xfId="0" applyFont="1" applyFill="1" applyAlignment="1">
      <alignment horizontal="left"/>
    </xf>
    <xf numFmtId="4" fontId="100" fillId="28" borderId="0" xfId="0" applyNumberFormat="1" applyFont="1" applyFill="1" applyAlignment="1">
      <alignment horizontal="center"/>
    </xf>
    <xf numFmtId="4" fontId="100" fillId="39" borderId="0" xfId="0" applyNumberFormat="1" applyFont="1" applyFill="1" applyAlignment="1">
      <alignment horizontal="center"/>
    </xf>
    <xf numFmtId="181" fontId="100" fillId="16" borderId="0" xfId="0" applyNumberFormat="1" applyFont="1" applyFill="1" applyAlignment="1">
      <alignment horizontal="center"/>
    </xf>
    <xf numFmtId="0" fontId="100" fillId="0" borderId="0" xfId="0" applyFont="1"/>
    <xf numFmtId="4" fontId="100" fillId="30" borderId="0" xfId="0" applyNumberFormat="1" applyFont="1" applyFill="1" applyAlignment="1">
      <alignment horizontal="center"/>
    </xf>
    <xf numFmtId="10" fontId="100" fillId="0" borderId="0" xfId="3" applyNumberFormat="1" applyFont="1" applyBorder="1" applyAlignment="1" applyProtection="1">
      <alignment horizontal="center"/>
    </xf>
    <xf numFmtId="0" fontId="165" fillId="6" borderId="0" xfId="0" applyFont="1" applyFill="1" applyAlignment="1">
      <alignment horizontal="left"/>
    </xf>
    <xf numFmtId="10" fontId="99" fillId="0" borderId="0" xfId="3" applyNumberFormat="1" applyFont="1" applyBorder="1" applyAlignment="1" applyProtection="1">
      <alignment horizontal="center"/>
    </xf>
    <xf numFmtId="4" fontId="99" fillId="16" borderId="14" xfId="0" applyNumberFormat="1" applyFont="1" applyFill="1" applyBorder="1" applyAlignment="1">
      <alignment horizontal="center"/>
    </xf>
    <xf numFmtId="0" fontId="106" fillId="16" borderId="0" xfId="1" applyFont="1" applyFill="1" applyBorder="1" applyAlignment="1" applyProtection="1">
      <alignment horizontal="center"/>
    </xf>
    <xf numFmtId="4" fontId="70" fillId="0" borderId="0" xfId="0" applyNumberFormat="1" applyFont="1" applyAlignment="1">
      <alignment horizontal="center"/>
    </xf>
    <xf numFmtId="4" fontId="80" fillId="0" borderId="0" xfId="0" applyNumberFormat="1" applyFont="1" applyAlignment="1">
      <alignment horizontal="center"/>
    </xf>
    <xf numFmtId="4" fontId="100" fillId="0" borderId="0" xfId="0" applyNumberFormat="1" applyFont="1" applyAlignment="1">
      <alignment horizontal="center"/>
    </xf>
    <xf numFmtId="10" fontId="70" fillId="0" borderId="0" xfId="0" applyNumberFormat="1" applyFont="1" applyAlignment="1">
      <alignment horizontal="center"/>
    </xf>
    <xf numFmtId="10" fontId="80" fillId="0" borderId="0" xfId="0" applyNumberFormat="1" applyFont="1" applyAlignment="1">
      <alignment horizontal="center"/>
    </xf>
    <xf numFmtId="10" fontId="100" fillId="0" borderId="0" xfId="0" applyNumberFormat="1" applyFont="1" applyAlignment="1">
      <alignment horizontal="center"/>
    </xf>
    <xf numFmtId="2" fontId="70" fillId="0" borderId="0" xfId="0" applyNumberFormat="1" applyFont="1"/>
    <xf numFmtId="2" fontId="80" fillId="0" borderId="0" xfId="0" applyNumberFormat="1" applyFont="1"/>
    <xf numFmtId="2" fontId="100" fillId="0" borderId="0" xfId="0" applyNumberFormat="1" applyFont="1"/>
    <xf numFmtId="4" fontId="0" fillId="0" borderId="35" xfId="0" applyNumberFormat="1" applyBorder="1"/>
    <xf numFmtId="0" fontId="0" fillId="30" borderId="74" xfId="0" applyFill="1" applyBorder="1"/>
    <xf numFmtId="0" fontId="0" fillId="30" borderId="128" xfId="0" applyFill="1" applyBorder="1"/>
    <xf numFmtId="0" fontId="0" fillId="41" borderId="21" xfId="0" applyFill="1" applyBorder="1"/>
    <xf numFmtId="0" fontId="0" fillId="41" borderId="104" xfId="0" applyFill="1" applyBorder="1"/>
    <xf numFmtId="165" fontId="59" fillId="12" borderId="14" xfId="0" applyNumberFormat="1" applyFont="1" applyFill="1" applyBorder="1" applyAlignment="1" applyProtection="1">
      <alignment vertical="center"/>
      <protection locked="0"/>
    </xf>
    <xf numFmtId="0" fontId="0" fillId="2" borderId="14" xfId="0" applyFill="1" applyBorder="1" applyAlignment="1">
      <alignment horizontal="center" wrapText="1"/>
    </xf>
    <xf numFmtId="0" fontId="58" fillId="2" borderId="14" xfId="0" applyFont="1" applyFill="1" applyBorder="1"/>
    <xf numFmtId="4" fontId="0" fillId="0" borderId="36" xfId="0" applyNumberFormat="1" applyBorder="1"/>
    <xf numFmtId="0" fontId="56" fillId="0" borderId="60" xfId="0" applyFont="1" applyBorder="1"/>
    <xf numFmtId="0" fontId="0" fillId="0" borderId="34" xfId="0" applyBorder="1"/>
    <xf numFmtId="0" fontId="55" fillId="0" borderId="35" xfId="0" applyFont="1" applyBorder="1"/>
    <xf numFmtId="0" fontId="22" fillId="0" borderId="0" xfId="0" applyFont="1" applyAlignment="1">
      <alignment wrapText="1"/>
    </xf>
    <xf numFmtId="0" fontId="56" fillId="6" borderId="1" xfId="0" applyFont="1" applyFill="1" applyBorder="1"/>
    <xf numFmtId="14" fontId="167" fillId="6" borderId="0" xfId="0" applyNumberFormat="1" applyFont="1" applyFill="1"/>
    <xf numFmtId="0" fontId="61" fillId="30" borderId="0" xfId="0" applyFont="1" applyFill="1"/>
    <xf numFmtId="14" fontId="60" fillId="12" borderId="12" xfId="0" applyNumberFormat="1" applyFont="1" applyFill="1" applyBorder="1" applyAlignment="1" applyProtection="1">
      <alignment vertical="center"/>
      <protection locked="0"/>
    </xf>
    <xf numFmtId="14" fontId="45" fillId="12" borderId="33" xfId="0" applyNumberFormat="1" applyFont="1" applyFill="1" applyBorder="1" applyProtection="1">
      <protection locked="0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left" vertical="top"/>
    </xf>
    <xf numFmtId="0" fontId="65" fillId="6" borderId="14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vertical="top"/>
    </xf>
    <xf numFmtId="0" fontId="21" fillId="0" borderId="14" xfId="0" applyFont="1" applyBorder="1" applyAlignment="1">
      <alignment horizontal="left" vertical="top" wrapText="1"/>
    </xf>
    <xf numFmtId="0" fontId="21" fillId="0" borderId="14" xfId="0" applyFont="1" applyBorder="1" applyAlignment="1">
      <alignment vertical="top" wrapText="1"/>
    </xf>
    <xf numFmtId="0" fontId="21" fillId="0" borderId="20" xfId="0" applyFont="1" applyBorder="1" applyAlignment="1">
      <alignment vertical="top" wrapText="1"/>
    </xf>
    <xf numFmtId="0" fontId="21" fillId="0" borderId="119" xfId="0" applyFont="1" applyBorder="1" applyAlignment="1">
      <alignment horizontal="left" vertical="top"/>
    </xf>
    <xf numFmtId="0" fontId="65" fillId="6" borderId="119" xfId="0" applyFont="1" applyFill="1" applyBorder="1" applyAlignment="1">
      <alignment horizontal="left" vertical="top" wrapText="1"/>
    </xf>
    <xf numFmtId="0" fontId="21" fillId="0" borderId="121" xfId="0" applyFont="1" applyBorder="1" applyAlignment="1">
      <alignment horizontal="left" vertical="top"/>
    </xf>
    <xf numFmtId="0" fontId="21" fillId="0" borderId="120" xfId="0" applyFont="1" applyBorder="1" applyAlignment="1">
      <alignment horizontal="left" vertical="top"/>
    </xf>
    <xf numFmtId="0" fontId="65" fillId="6" borderId="120" xfId="0" applyFont="1" applyFill="1" applyBorder="1" applyAlignment="1">
      <alignment horizontal="left" vertical="top" wrapText="1"/>
    </xf>
    <xf numFmtId="0" fontId="65" fillId="6" borderId="121" xfId="0" applyFont="1" applyFill="1" applyBorder="1" applyAlignment="1">
      <alignment horizontal="left" vertical="top" wrapText="1"/>
    </xf>
    <xf numFmtId="0" fontId="65" fillId="6" borderId="120" xfId="0" applyFont="1" applyFill="1" applyBorder="1" applyAlignment="1">
      <alignment vertical="top" wrapText="1"/>
    </xf>
    <xf numFmtId="0" fontId="65" fillId="0" borderId="120" xfId="0" applyFont="1" applyBorder="1" applyAlignment="1">
      <alignment horizontal="left" vertical="top" wrapText="1"/>
    </xf>
    <xf numFmtId="0" fontId="65" fillId="0" borderId="120" xfId="0" applyFont="1" applyBorder="1" applyAlignment="1">
      <alignment horizontal="left" vertical="top"/>
    </xf>
    <xf numFmtId="181" fontId="65" fillId="6" borderId="120" xfId="0" applyNumberFormat="1" applyFont="1" applyFill="1" applyBorder="1" applyAlignment="1">
      <alignment horizontal="left" vertical="top" wrapText="1"/>
    </xf>
    <xf numFmtId="164" fontId="65" fillId="6" borderId="120" xfId="0" applyNumberFormat="1" applyFont="1" applyFill="1" applyBorder="1" applyAlignment="1">
      <alignment horizontal="left" vertical="top" wrapText="1"/>
    </xf>
    <xf numFmtId="165" fontId="60" fillId="6" borderId="120" xfId="0" applyNumberFormat="1" applyFont="1" applyFill="1" applyBorder="1" applyAlignment="1">
      <alignment horizontal="center" vertical="top" wrapText="1"/>
    </xf>
    <xf numFmtId="4" fontId="65" fillId="0" borderId="120" xfId="0" applyNumberFormat="1" applyFont="1" applyBorder="1" applyAlignment="1">
      <alignment horizontal="left" vertical="top" wrapText="1"/>
    </xf>
    <xf numFmtId="0" fontId="65" fillId="0" borderId="121" xfId="0" applyFont="1" applyBorder="1" applyAlignment="1">
      <alignment horizontal="left" vertical="top"/>
    </xf>
    <xf numFmtId="0" fontId="21" fillId="6" borderId="119" xfId="0" applyFont="1" applyFill="1" applyBorder="1" applyAlignment="1" applyProtection="1">
      <alignment horizontal="left" vertical="top" wrapText="1"/>
      <protection hidden="1"/>
    </xf>
    <xf numFmtId="0" fontId="21" fillId="6" borderId="120" xfId="0" applyFont="1" applyFill="1" applyBorder="1" applyAlignment="1" applyProtection="1">
      <alignment horizontal="left" vertical="top" wrapText="1"/>
      <protection hidden="1"/>
    </xf>
    <xf numFmtId="0" fontId="21" fillId="0" borderId="119" xfId="0" applyFont="1" applyBorder="1" applyAlignment="1">
      <alignment horizontal="left" vertical="top" wrapText="1"/>
    </xf>
    <xf numFmtId="0" fontId="21" fillId="0" borderId="119" xfId="0" applyFont="1" applyBorder="1" applyAlignment="1">
      <alignment vertical="top" wrapText="1"/>
    </xf>
    <xf numFmtId="0" fontId="21" fillId="0" borderId="121" xfId="0" applyFont="1" applyBorder="1" applyAlignment="1">
      <alignment horizontal="left" vertical="top" wrapText="1"/>
    </xf>
    <xf numFmtId="0" fontId="21" fillId="0" borderId="121" xfId="0" applyFont="1" applyBorder="1" applyAlignment="1">
      <alignment vertical="top" wrapText="1"/>
    </xf>
    <xf numFmtId="0" fontId="21" fillId="0" borderId="120" xfId="0" applyFont="1" applyBorder="1" applyAlignment="1">
      <alignment horizontal="left" vertical="top" wrapText="1"/>
    </xf>
    <xf numFmtId="0" fontId="21" fillId="0" borderId="120" xfId="0" applyFont="1" applyBorder="1" applyAlignment="1">
      <alignment vertical="top" wrapText="1"/>
    </xf>
    <xf numFmtId="14" fontId="21" fillId="0" borderId="121" xfId="0" applyNumberFormat="1" applyFont="1" applyBorder="1" applyAlignment="1">
      <alignment vertical="top" wrapText="1"/>
    </xf>
    <xf numFmtId="0" fontId="21" fillId="0" borderId="117" xfId="0" applyFont="1" applyBorder="1" applyAlignment="1">
      <alignment horizontal="left" vertical="top" wrapText="1"/>
    </xf>
    <xf numFmtId="0" fontId="21" fillId="0" borderId="117" xfId="0" applyFont="1" applyBorder="1" applyAlignment="1">
      <alignment vertical="top" wrapText="1"/>
    </xf>
    <xf numFmtId="0" fontId="21" fillId="0" borderId="132" xfId="0" applyFont="1" applyBorder="1" applyAlignment="1">
      <alignment horizontal="left" vertical="top" wrapText="1"/>
    </xf>
    <xf numFmtId="0" fontId="21" fillId="0" borderId="132" xfId="0" applyFont="1" applyBorder="1" applyAlignment="1">
      <alignment vertical="top" wrapText="1"/>
    </xf>
    <xf numFmtId="0" fontId="21" fillId="0" borderId="118" xfId="0" applyFont="1" applyBorder="1" applyAlignment="1">
      <alignment horizontal="left" vertical="top" wrapText="1"/>
    </xf>
    <xf numFmtId="0" fontId="21" fillId="0" borderId="118" xfId="0" applyFont="1" applyBorder="1" applyAlignment="1">
      <alignment vertical="top" wrapText="1"/>
    </xf>
    <xf numFmtId="14" fontId="21" fillId="0" borderId="14" xfId="0" applyNumberFormat="1" applyFont="1" applyBorder="1" applyAlignment="1">
      <alignment vertical="top"/>
    </xf>
    <xf numFmtId="0" fontId="21" fillId="0" borderId="21" xfId="0" applyFont="1" applyBorder="1" applyAlignment="1">
      <alignment horizontal="center"/>
    </xf>
    <xf numFmtId="14" fontId="21" fillId="0" borderId="20" xfId="0" applyNumberFormat="1" applyFont="1" applyBorder="1" applyAlignment="1">
      <alignment horizontal="center"/>
    </xf>
    <xf numFmtId="10" fontId="55" fillId="6" borderId="0" xfId="3" applyNumberFormat="1" applyFont="1" applyFill="1" applyBorder="1" applyAlignment="1" applyProtection="1">
      <alignment horizontal="left"/>
    </xf>
    <xf numFmtId="165" fontId="45" fillId="17" borderId="20" xfId="0" applyNumberFormat="1" applyFont="1" applyFill="1" applyBorder="1" applyProtection="1">
      <protection locked="0"/>
    </xf>
    <xf numFmtId="0" fontId="20" fillId="0" borderId="14" xfId="0" applyFont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0" fontId="135" fillId="40" borderId="0" xfId="0" applyFont="1" applyFill="1" applyAlignment="1">
      <alignment horizontal="center" wrapText="1"/>
    </xf>
    <xf numFmtId="164" fontId="0" fillId="6" borderId="0" xfId="0" applyNumberFormat="1" applyFill="1"/>
    <xf numFmtId="0" fontId="19" fillId="0" borderId="19" xfId="0" applyFont="1" applyBorder="1" applyAlignment="1">
      <alignment horizontal="left" vertical="top" wrapText="1"/>
    </xf>
    <xf numFmtId="0" fontId="19" fillId="0" borderId="19" xfId="0" applyFont="1" applyBorder="1" applyAlignment="1">
      <alignment vertical="top" wrapText="1"/>
    </xf>
    <xf numFmtId="0" fontId="18" fillId="0" borderId="14" xfId="0" applyFont="1" applyBorder="1"/>
    <xf numFmtId="0" fontId="59" fillId="0" borderId="77" xfId="0" applyFont="1" applyBorder="1"/>
    <xf numFmtId="0" fontId="19" fillId="0" borderId="37" xfId="0" applyFont="1" applyBorder="1"/>
    <xf numFmtId="0" fontId="19" fillId="0" borderId="78" xfId="0" applyFont="1" applyBorder="1"/>
    <xf numFmtId="0" fontId="60" fillId="16" borderId="32" xfId="0" applyFont="1" applyFill="1" applyBorder="1" applyAlignment="1">
      <alignment horizontal="center"/>
    </xf>
    <xf numFmtId="0" fontId="19" fillId="0" borderId="33" xfId="0" applyFont="1" applyBorder="1"/>
    <xf numFmtId="0" fontId="0" fillId="0" borderId="31" xfId="0" applyBorder="1"/>
    <xf numFmtId="0" fontId="0" fillId="0" borderId="84" xfId="0" applyBorder="1"/>
    <xf numFmtId="0" fontId="71" fillId="0" borderId="61" xfId="0" applyFont="1" applyBorder="1"/>
    <xf numFmtId="0" fontId="144" fillId="18" borderId="83" xfId="0" applyFont="1" applyFill="1" applyBorder="1" applyAlignment="1">
      <alignment horizontal="center"/>
    </xf>
    <xf numFmtId="0" fontId="144" fillId="0" borderId="76" xfId="0" applyFont="1" applyBorder="1"/>
    <xf numFmtId="0" fontId="79" fillId="6" borderId="14" xfId="0" applyFont="1" applyFill="1" applyBorder="1" applyAlignment="1">
      <alignment wrapText="1"/>
    </xf>
    <xf numFmtId="0" fontId="83" fillId="6" borderId="14" xfId="0" applyFont="1" applyFill="1" applyBorder="1" applyAlignment="1">
      <alignment wrapText="1"/>
    </xf>
    <xf numFmtId="0" fontId="18" fillId="0" borderId="19" xfId="0" applyFont="1" applyBorder="1" applyAlignment="1">
      <alignment vertical="top" wrapText="1"/>
    </xf>
    <xf numFmtId="0" fontId="18" fillId="0" borderId="19" xfId="0" applyFont="1" applyBorder="1" applyAlignment="1">
      <alignment horizontal="left" vertical="top" wrapText="1"/>
    </xf>
    <xf numFmtId="10" fontId="58" fillId="17" borderId="14" xfId="0" applyNumberFormat="1" applyFont="1" applyFill="1" applyBorder="1" applyAlignment="1" applyProtection="1">
      <alignment horizontal="center"/>
      <protection locked="0"/>
    </xf>
    <xf numFmtId="10" fontId="76" fillId="6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6" borderId="20" xfId="0" applyFill="1" applyBorder="1"/>
    <xf numFmtId="173" fontId="0" fillId="17" borderId="20" xfId="0" applyNumberFormat="1" applyFill="1" applyBorder="1" applyAlignment="1" applyProtection="1">
      <alignment horizontal="center"/>
      <protection locked="0"/>
    </xf>
    <xf numFmtId="177" fontId="0" fillId="6" borderId="1" xfId="0" applyNumberFormat="1" applyFill="1" applyBorder="1" applyAlignment="1">
      <alignment horizontal="center"/>
    </xf>
    <xf numFmtId="0" fontId="0" fillId="6" borderId="81" xfId="0" applyFill="1" applyBorder="1"/>
    <xf numFmtId="175" fontId="0" fillId="17" borderId="20" xfId="0" applyNumberFormat="1" applyFill="1" applyBorder="1" applyProtection="1">
      <protection locked="0"/>
    </xf>
    <xf numFmtId="0" fontId="0" fillId="6" borderId="21" xfId="0" applyFill="1" applyBorder="1"/>
    <xf numFmtId="177" fontId="0" fillId="6" borderId="6" xfId="0" applyNumberFormat="1" applyFill="1" applyBorder="1" applyAlignment="1">
      <alignment horizontal="center"/>
    </xf>
    <xf numFmtId="0" fontId="0" fillId="6" borderId="75" xfId="0" applyFill="1" applyBorder="1"/>
    <xf numFmtId="175" fontId="0" fillId="17" borderId="21" xfId="0" applyNumberFormat="1" applyFill="1" applyBorder="1" applyProtection="1">
      <protection locked="0"/>
    </xf>
    <xf numFmtId="0" fontId="111" fillId="6" borderId="22" xfId="0" applyFont="1" applyFill="1" applyBorder="1" applyAlignment="1">
      <alignment wrapText="1"/>
    </xf>
    <xf numFmtId="4" fontId="99" fillId="16" borderId="0" xfId="0" applyNumberFormat="1" applyFont="1" applyFill="1" applyAlignment="1">
      <alignment horizontal="center"/>
    </xf>
    <xf numFmtId="0" fontId="65" fillId="16" borderId="0" xfId="0" applyFont="1" applyFill="1" applyAlignment="1">
      <alignment horizontal="center"/>
    </xf>
    <xf numFmtId="4" fontId="100" fillId="23" borderId="0" xfId="0" applyNumberFormat="1" applyFont="1" applyFill="1" applyAlignment="1">
      <alignment horizontal="center"/>
    </xf>
    <xf numFmtId="4" fontId="100" fillId="32" borderId="0" xfId="0" applyNumberFormat="1" applyFont="1" applyFill="1" applyAlignment="1">
      <alignment horizontal="center"/>
    </xf>
    <xf numFmtId="4" fontId="70" fillId="23" borderId="0" xfId="0" applyNumberFormat="1" applyFont="1" applyFill="1" applyAlignment="1">
      <alignment horizontal="center"/>
    </xf>
    <xf numFmtId="4" fontId="70" fillId="32" borderId="0" xfId="0" applyNumberFormat="1" applyFont="1" applyFill="1" applyAlignment="1">
      <alignment horizontal="center"/>
    </xf>
    <xf numFmtId="4" fontId="80" fillId="23" borderId="0" xfId="0" applyNumberFormat="1" applyFont="1" applyFill="1" applyAlignment="1">
      <alignment horizontal="center"/>
    </xf>
    <xf numFmtId="4" fontId="60" fillId="6" borderId="20" xfId="0" applyNumberFormat="1" applyFont="1" applyFill="1" applyBorder="1" applyAlignment="1">
      <alignment horizontal="center"/>
    </xf>
    <xf numFmtId="0" fontId="126" fillId="6" borderId="14" xfId="0" applyFont="1" applyFill="1" applyBorder="1" applyAlignment="1">
      <alignment horizontal="left"/>
    </xf>
    <xf numFmtId="4" fontId="60" fillId="6" borderId="14" xfId="0" applyNumberFormat="1" applyFont="1" applyFill="1" applyBorder="1" applyAlignment="1">
      <alignment horizontal="center"/>
    </xf>
    <xf numFmtId="4" fontId="60" fillId="6" borderId="12" xfId="0" applyNumberFormat="1" applyFont="1" applyFill="1" applyBorder="1" applyAlignment="1">
      <alignment horizontal="center"/>
    </xf>
    <xf numFmtId="4" fontId="60" fillId="6" borderId="19" xfId="0" applyNumberFormat="1" applyFont="1" applyFill="1" applyBorder="1" applyAlignment="1">
      <alignment horizontal="center"/>
    </xf>
    <xf numFmtId="4" fontId="60" fillId="6" borderId="21" xfId="0" applyNumberFormat="1" applyFont="1" applyFill="1" applyBorder="1" applyAlignment="1">
      <alignment horizontal="center"/>
    </xf>
    <xf numFmtId="0" fontId="99" fillId="6" borderId="0" xfId="0" applyFont="1" applyFill="1"/>
    <xf numFmtId="0" fontId="60" fillId="6" borderId="0" xfId="0" applyFont="1" applyFill="1"/>
    <xf numFmtId="169" fontId="60" fillId="6" borderId="14" xfId="0" applyNumberFormat="1" applyFont="1" applyFill="1" applyBorder="1" applyAlignment="1">
      <alignment horizontal="center"/>
    </xf>
    <xf numFmtId="4" fontId="60" fillId="6" borderId="76" xfId="0" applyNumberFormat="1" applyFont="1" applyFill="1" applyBorder="1" applyAlignment="1">
      <alignment horizontal="center"/>
    </xf>
    <xf numFmtId="4" fontId="65" fillId="6" borderId="14" xfId="0" applyNumberFormat="1" applyFont="1" applyFill="1" applyBorder="1" applyAlignment="1">
      <alignment horizontal="center"/>
    </xf>
    <xf numFmtId="172" fontId="65" fillId="6" borderId="14" xfId="0" applyNumberFormat="1" applyFont="1" applyFill="1" applyBorder="1" applyAlignment="1">
      <alignment horizontal="center"/>
    </xf>
    <xf numFmtId="4" fontId="65" fillId="6" borderId="74" xfId="0" applyNumberFormat="1" applyFont="1" applyFill="1" applyBorder="1" applyAlignment="1">
      <alignment horizontal="center"/>
    </xf>
    <xf numFmtId="4" fontId="65" fillId="6" borderId="76" xfId="0" applyNumberFormat="1" applyFont="1" applyFill="1" applyBorder="1" applyAlignment="1">
      <alignment horizontal="center"/>
    </xf>
    <xf numFmtId="4" fontId="65" fillId="6" borderId="89" xfId="0" applyNumberFormat="1" applyFont="1" applyFill="1" applyBorder="1" applyAlignment="1">
      <alignment horizontal="center"/>
    </xf>
    <xf numFmtId="4" fontId="60" fillId="18" borderId="14" xfId="0" applyNumberFormat="1" applyFont="1" applyFill="1" applyBorder="1" applyAlignment="1">
      <alignment horizontal="center"/>
    </xf>
    <xf numFmtId="4" fontId="60" fillId="18" borderId="14" xfId="0" applyNumberFormat="1" applyFont="1" applyFill="1" applyBorder="1" applyAlignment="1">
      <alignment horizontal="center" wrapText="1"/>
    </xf>
    <xf numFmtId="169" fontId="65" fillId="18" borderId="14" xfId="0" applyNumberFormat="1" applyFont="1" applyFill="1" applyBorder="1" applyAlignment="1">
      <alignment horizontal="center"/>
    </xf>
    <xf numFmtId="4" fontId="99" fillId="23" borderId="14" xfId="0" applyNumberFormat="1" applyFont="1" applyFill="1" applyBorder="1" applyAlignment="1">
      <alignment horizontal="center"/>
    </xf>
    <xf numFmtId="4" fontId="64" fillId="23" borderId="14" xfId="0" applyNumberFormat="1" applyFont="1" applyFill="1" applyBorder="1" applyAlignment="1">
      <alignment horizontal="center"/>
    </xf>
    <xf numFmtId="4" fontId="69" fillId="23" borderId="14" xfId="0" applyNumberFormat="1" applyFont="1" applyFill="1" applyBorder="1" applyAlignment="1">
      <alignment horizontal="center"/>
    </xf>
    <xf numFmtId="44" fontId="111" fillId="6" borderId="0" xfId="2" applyFont="1" applyFill="1" applyBorder="1" applyAlignment="1" applyProtection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0" fontId="168" fillId="7" borderId="106" xfId="3" applyNumberFormat="1" applyFont="1" applyFill="1" applyBorder="1" applyAlignment="1" applyProtection="1">
      <alignment horizontal="center"/>
    </xf>
    <xf numFmtId="10" fontId="58" fillId="18" borderId="14" xfId="0" applyNumberFormat="1" applyFont="1" applyFill="1" applyBorder="1" applyAlignment="1">
      <alignment horizontal="center"/>
    </xf>
    <xf numFmtId="0" fontId="128" fillId="30" borderId="0" xfId="0" applyFont="1" applyFill="1"/>
    <xf numFmtId="0" fontId="18" fillId="0" borderId="19" xfId="0" applyFont="1" applyBorder="1" applyAlignment="1">
      <alignment vertical="top"/>
    </xf>
    <xf numFmtId="1" fontId="0" fillId="0" borderId="0" xfId="0" applyNumberFormat="1"/>
    <xf numFmtId="10" fontId="0" fillId="0" borderId="0" xfId="0" applyNumberFormat="1" applyAlignment="1">
      <alignment horizontal="center"/>
    </xf>
    <xf numFmtId="0" fontId="56" fillId="2" borderId="14" xfId="0" applyFont="1" applyFill="1" applyBorder="1" applyAlignment="1">
      <alignment horizontal="center" vertical="center"/>
    </xf>
    <xf numFmtId="0" fontId="64" fillId="30" borderId="0" xfId="0" quotePrefix="1" applyFont="1" applyFill="1"/>
    <xf numFmtId="172" fontId="100" fillId="16" borderId="0" xfId="0" applyNumberFormat="1" applyFont="1" applyFill="1" applyAlignment="1">
      <alignment horizontal="center"/>
    </xf>
    <xf numFmtId="0" fontId="56" fillId="2" borderId="2" xfId="0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0" fontId="56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45" fillId="6" borderId="14" xfId="2" applyNumberFormat="1" applyFont="1" applyFill="1" applyBorder="1" applyAlignment="1" applyProtection="1">
      <alignment horizontal="center" vertical="center"/>
    </xf>
    <xf numFmtId="10" fontId="45" fillId="29" borderId="105" xfId="3" applyNumberFormat="1" applyFont="1" applyFill="1" applyBorder="1" applyAlignment="1" applyProtection="1">
      <alignment horizontal="center"/>
    </xf>
    <xf numFmtId="0" fontId="59" fillId="0" borderId="14" xfId="0" applyFont="1" applyBorder="1" applyAlignment="1">
      <alignment horizontal="center"/>
    </xf>
    <xf numFmtId="0" fontId="57" fillId="2" borderId="4" xfId="0" applyFont="1" applyFill="1" applyBorder="1" applyAlignment="1">
      <alignment vertical="center" wrapText="1"/>
    </xf>
    <xf numFmtId="49" fontId="58" fillId="2" borderId="0" xfId="0" applyNumberFormat="1" applyFont="1" applyFill="1" applyAlignment="1">
      <alignment vertical="center" wrapText="1"/>
    </xf>
    <xf numFmtId="49" fontId="58" fillId="2" borderId="0" xfId="0" applyNumberFormat="1" applyFont="1" applyFill="1" applyAlignment="1">
      <alignment vertical="center"/>
    </xf>
    <xf numFmtId="0" fontId="57" fillId="2" borderId="0" xfId="0" applyFont="1" applyFill="1" applyAlignment="1">
      <alignment vertical="center" wrapText="1"/>
    </xf>
    <xf numFmtId="0" fontId="58" fillId="2" borderId="0" xfId="0" applyFont="1" applyFill="1" applyAlignment="1">
      <alignment vertical="center" wrapText="1"/>
    </xf>
    <xf numFmtId="0" fontId="58" fillId="2" borderId="0" xfId="0" applyFont="1" applyFill="1" applyAlignment="1">
      <alignment vertical="center"/>
    </xf>
    <xf numFmtId="0" fontId="43" fillId="6" borderId="0" xfId="0" applyFont="1" applyFill="1"/>
    <xf numFmtId="0" fontId="43" fillId="6" borderId="0" xfId="0" applyFont="1" applyFill="1" applyAlignment="1">
      <alignment horizontal="right"/>
    </xf>
    <xf numFmtId="0" fontId="59" fillId="7" borderId="0" xfId="0" applyFont="1" applyFill="1" applyAlignment="1">
      <alignment horizontal="left"/>
    </xf>
    <xf numFmtId="0" fontId="43" fillId="7" borderId="0" xfId="0" applyFont="1" applyFill="1"/>
    <xf numFmtId="0" fontId="65" fillId="6" borderId="0" xfId="0" applyFont="1" applyFill="1" applyAlignment="1">
      <alignment horizontal="right"/>
    </xf>
    <xf numFmtId="0" fontId="43" fillId="7" borderId="0" xfId="0" applyFont="1" applyFill="1" applyAlignment="1">
      <alignment horizontal="left"/>
    </xf>
    <xf numFmtId="0" fontId="43" fillId="6" borderId="0" xfId="0" applyFont="1" applyFill="1" applyAlignment="1">
      <alignment horizontal="left"/>
    </xf>
    <xf numFmtId="0" fontId="43" fillId="0" borderId="0" xfId="0" applyFont="1"/>
    <xf numFmtId="0" fontId="70" fillId="6" borderId="0" xfId="0" applyFont="1" applyFill="1"/>
    <xf numFmtId="0" fontId="60" fillId="0" borderId="18" xfId="0" applyFont="1" applyBorder="1" applyAlignment="1">
      <alignment horizontal="center" vertical="center"/>
    </xf>
    <xf numFmtId="14" fontId="59" fillId="7" borderId="18" xfId="0" applyNumberFormat="1" applyFont="1" applyFill="1" applyBorder="1" applyAlignment="1">
      <alignment vertical="center"/>
    </xf>
    <xf numFmtId="0" fontId="59" fillId="0" borderId="18" xfId="0" applyFont="1" applyBorder="1" applyAlignment="1">
      <alignment horizontal="center" vertical="center"/>
    </xf>
    <xf numFmtId="0" fontId="43" fillId="0" borderId="13" xfId="0" applyFont="1" applyBorder="1" applyAlignment="1">
      <alignment vertical="center"/>
    </xf>
    <xf numFmtId="0" fontId="59" fillId="19" borderId="14" xfId="0" applyFont="1" applyFill="1" applyBorder="1"/>
    <xf numFmtId="0" fontId="59" fillId="19" borderId="14" xfId="0" applyFont="1" applyFill="1" applyBorder="1" applyAlignment="1">
      <alignment horizontal="center"/>
    </xf>
    <xf numFmtId="0" fontId="43" fillId="0" borderId="14" xfId="0" applyFont="1" applyBorder="1"/>
    <xf numFmtId="0" fontId="43" fillId="0" borderId="14" xfId="0" applyFont="1" applyBorder="1" applyAlignment="1">
      <alignment horizontal="center"/>
    </xf>
    <xf numFmtId="0" fontId="0" fillId="30" borderId="4" xfId="0" applyFill="1" applyBorder="1"/>
    <xf numFmtId="0" fontId="29" fillId="6" borderId="14" xfId="0" applyFont="1" applyFill="1" applyBorder="1"/>
    <xf numFmtId="0" fontId="43" fillId="6" borderId="14" xfId="0" applyFont="1" applyFill="1" applyBorder="1" applyAlignment="1">
      <alignment horizontal="center"/>
    </xf>
    <xf numFmtId="0" fontId="59" fillId="19" borderId="20" xfId="0" applyFont="1" applyFill="1" applyBorder="1" applyAlignment="1">
      <alignment horizontal="center"/>
    </xf>
    <xf numFmtId="0" fontId="59" fillId="19" borderId="12" xfId="0" applyFont="1" applyFill="1" applyBorder="1" applyAlignment="1">
      <alignment horizontal="center"/>
    </xf>
    <xf numFmtId="0" fontId="58" fillId="7" borderId="20" xfId="0" applyFont="1" applyFill="1" applyBorder="1"/>
    <xf numFmtId="0" fontId="59" fillId="19" borderId="13" xfId="0" applyFont="1" applyFill="1" applyBorder="1" applyAlignment="1">
      <alignment horizontal="center"/>
    </xf>
    <xf numFmtId="187" fontId="43" fillId="0" borderId="14" xfId="0" applyNumberFormat="1" applyFont="1" applyBorder="1" applyAlignment="1">
      <alignment horizontal="center"/>
    </xf>
    <xf numFmtId="10" fontId="18" fillId="6" borderId="18" xfId="0" applyNumberFormat="1" applyFont="1" applyFill="1" applyBorder="1" applyAlignment="1">
      <alignment horizontal="center"/>
    </xf>
    <xf numFmtId="0" fontId="58" fillId="7" borderId="19" xfId="0" applyFont="1" applyFill="1" applyBorder="1"/>
    <xf numFmtId="165" fontId="24" fillId="7" borderId="3" xfId="0" applyNumberFormat="1" applyFont="1" applyFill="1" applyBorder="1" applyAlignment="1">
      <alignment horizontal="center"/>
    </xf>
    <xf numFmtId="165" fontId="24" fillId="7" borderId="20" xfId="0" applyNumberFormat="1" applyFont="1" applyFill="1" applyBorder="1" applyAlignment="1">
      <alignment horizontal="center"/>
    </xf>
    <xf numFmtId="0" fontId="0" fillId="23" borderId="4" xfId="0" applyFill="1" applyBorder="1"/>
    <xf numFmtId="187" fontId="43" fillId="6" borderId="14" xfId="0" applyNumberFormat="1" applyFont="1" applyFill="1" applyBorder="1" applyAlignment="1">
      <alignment horizontal="center"/>
    </xf>
    <xf numFmtId="10" fontId="43" fillId="6" borderId="33" xfId="0" applyNumberFormat="1" applyFont="1" applyFill="1" applyBorder="1" applyAlignment="1">
      <alignment horizontal="center"/>
    </xf>
    <xf numFmtId="0" fontId="65" fillId="7" borderId="91" xfId="0" applyFont="1" applyFill="1" applyBorder="1" applyAlignment="1">
      <alignment horizontal="center" vertical="top" wrapText="1"/>
    </xf>
    <xf numFmtId="10" fontId="60" fillId="6" borderId="37" xfId="0" applyNumberFormat="1" applyFont="1" applyFill="1" applyBorder="1" applyAlignment="1">
      <alignment horizontal="center" vertical="center"/>
    </xf>
    <xf numFmtId="0" fontId="65" fillId="7" borderId="98" xfId="0" applyFont="1" applyFill="1" applyBorder="1" applyAlignment="1">
      <alignment vertical="top" wrapText="1"/>
    </xf>
    <xf numFmtId="0" fontId="58" fillId="6" borderId="62" xfId="0" applyFont="1" applyFill="1" applyBorder="1"/>
    <xf numFmtId="0" fontId="59" fillId="16" borderId="14" xfId="0" applyFont="1" applyFill="1" applyBorder="1" applyAlignment="1">
      <alignment wrapText="1"/>
    </xf>
    <xf numFmtId="0" fontId="59" fillId="19" borderId="14" xfId="0" applyFont="1" applyFill="1" applyBorder="1" applyAlignment="1">
      <alignment wrapText="1"/>
    </xf>
    <xf numFmtId="0" fontId="59" fillId="19" borderId="21" xfId="0" applyFont="1" applyFill="1" applyBorder="1" applyAlignment="1">
      <alignment wrapText="1"/>
    </xf>
    <xf numFmtId="174" fontId="43" fillId="6" borderId="14" xfId="0" applyNumberFormat="1" applyFont="1" applyFill="1" applyBorder="1" applyAlignment="1">
      <alignment horizontal="center"/>
    </xf>
    <xf numFmtId="0" fontId="29" fillId="0" borderId="14" xfId="0" applyFont="1" applyBorder="1"/>
    <xf numFmtId="0" fontId="43" fillId="6" borderId="2" xfId="0" applyFont="1" applyFill="1" applyBorder="1"/>
    <xf numFmtId="187" fontId="43" fillId="6" borderId="2" xfId="0" applyNumberFormat="1" applyFont="1" applyFill="1" applyBorder="1" applyAlignment="1">
      <alignment horizontal="center"/>
    </xf>
    <xf numFmtId="0" fontId="59" fillId="16" borderId="12" xfId="0" applyFont="1" applyFill="1" applyBorder="1"/>
    <xf numFmtId="0" fontId="59" fillId="16" borderId="18" xfId="0" applyFont="1" applyFill="1" applyBorder="1"/>
    <xf numFmtId="0" fontId="59" fillId="16" borderId="13" xfId="0" applyFont="1" applyFill="1" applyBorder="1"/>
    <xf numFmtId="175" fontId="43" fillId="6" borderId="20" xfId="0" applyNumberFormat="1" applyFont="1" applyFill="1" applyBorder="1" applyAlignment="1">
      <alignment horizontal="center"/>
    </xf>
    <xf numFmtId="176" fontId="43" fillId="6" borderId="20" xfId="0" applyNumberFormat="1" applyFont="1" applyFill="1" applyBorder="1"/>
    <xf numFmtId="175" fontId="59" fillId="16" borderId="12" xfId="0" applyNumberFormat="1" applyFont="1" applyFill="1" applyBorder="1" applyAlignment="1">
      <alignment horizontal="left"/>
    </xf>
    <xf numFmtId="175" fontId="59" fillId="16" borderId="18" xfId="0" applyNumberFormat="1" applyFont="1" applyFill="1" applyBorder="1" applyAlignment="1">
      <alignment horizontal="left"/>
    </xf>
    <xf numFmtId="176" fontId="59" fillId="16" borderId="18" xfId="0" applyNumberFormat="1" applyFont="1" applyFill="1" applyBorder="1" applyAlignment="1">
      <alignment horizontal="left"/>
    </xf>
    <xf numFmtId="0" fontId="56" fillId="16" borderId="18" xfId="0" applyFont="1" applyFill="1" applyBorder="1" applyAlignment="1">
      <alignment horizontal="left"/>
    </xf>
    <xf numFmtId="0" fontId="56" fillId="16" borderId="13" xfId="0" applyFont="1" applyFill="1" applyBorder="1" applyAlignment="1">
      <alignment horizontal="left"/>
    </xf>
    <xf numFmtId="44" fontId="83" fillId="6" borderId="14" xfId="2" applyFont="1" applyFill="1" applyBorder="1" applyAlignment="1" applyProtection="1">
      <alignment horizontal="center"/>
    </xf>
    <xf numFmtId="175" fontId="43" fillId="16" borderId="18" xfId="0" applyNumberFormat="1" applyFont="1" applyFill="1" applyBorder="1" applyAlignment="1">
      <alignment horizontal="left"/>
    </xf>
    <xf numFmtId="176" fontId="43" fillId="16" borderId="13" xfId="0" applyNumberFormat="1" applyFont="1" applyFill="1" applyBorder="1" applyAlignment="1">
      <alignment horizontal="left"/>
    </xf>
    <xf numFmtId="0" fontId="59" fillId="16" borderId="14" xfId="0" applyFont="1" applyFill="1" applyBorder="1" applyAlignment="1">
      <alignment horizontal="center"/>
    </xf>
    <xf numFmtId="0" fontId="0" fillId="30" borderId="5" xfId="0" applyFill="1" applyBorder="1"/>
    <xf numFmtId="44" fontId="59" fillId="0" borderId="14" xfId="0" applyNumberFormat="1" applyFont="1" applyBorder="1" applyAlignment="1">
      <alignment horizontal="center"/>
    </xf>
    <xf numFmtId="44" fontId="59" fillId="6" borderId="14" xfId="0" applyNumberFormat="1" applyFont="1" applyFill="1" applyBorder="1" applyAlignment="1">
      <alignment horizontal="center"/>
    </xf>
    <xf numFmtId="44" fontId="59" fillId="6" borderId="14" xfId="2" applyFont="1" applyFill="1" applyBorder="1" applyAlignment="1" applyProtection="1">
      <alignment horizontal="center"/>
    </xf>
    <xf numFmtId="44" fontId="59" fillId="6" borderId="1" xfId="2" applyFont="1" applyFill="1" applyBorder="1" applyAlignment="1" applyProtection="1">
      <alignment horizontal="center"/>
    </xf>
    <xf numFmtId="0" fontId="64" fillId="6" borderId="0" xfId="0" applyFont="1" applyFill="1" applyAlignment="1">
      <alignment horizontal="left" vertical="top"/>
    </xf>
    <xf numFmtId="0" fontId="24" fillId="6" borderId="0" xfId="0" applyFont="1" applyFill="1" applyAlignment="1">
      <alignment horizontal="left" vertical="top"/>
    </xf>
    <xf numFmtId="0" fontId="43" fillId="6" borderId="0" xfId="0" applyFont="1" applyFill="1" applyAlignment="1">
      <alignment horizontal="left" vertical="top"/>
    </xf>
    <xf numFmtId="0" fontId="23" fillId="6" borderId="0" xfId="0" applyFont="1" applyFill="1" applyAlignment="1">
      <alignment horizontal="left" vertical="top"/>
    </xf>
    <xf numFmtId="0" fontId="76" fillId="6" borderId="0" xfId="0" applyFont="1" applyFill="1"/>
    <xf numFmtId="0" fontId="56" fillId="6" borderId="7" xfId="0" applyFont="1" applyFill="1" applyBorder="1"/>
    <xf numFmtId="0" fontId="146" fillId="0" borderId="8" xfId="0" applyFont="1" applyBorder="1" applyAlignment="1">
      <alignment horizontal="right"/>
    </xf>
    <xf numFmtId="0" fontId="70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65" fillId="8" borderId="0" xfId="0" applyFont="1" applyFill="1" applyAlignment="1">
      <alignment horizontal="left"/>
    </xf>
    <xf numFmtId="0" fontId="53" fillId="8" borderId="0" xfId="0" applyFont="1" applyFill="1"/>
    <xf numFmtId="0" fontId="53" fillId="0" borderId="0" xfId="0" applyFont="1" applyAlignment="1">
      <alignment horizontal="center"/>
    </xf>
    <xf numFmtId="0" fontId="60" fillId="0" borderId="0" xfId="0" applyFont="1" applyAlignment="1">
      <alignment horizontal="right"/>
    </xf>
    <xf numFmtId="3" fontId="60" fillId="7" borderId="14" xfId="0" applyNumberFormat="1" applyFont="1" applyFill="1" applyBorder="1" applyAlignment="1">
      <alignment horizontal="center"/>
    </xf>
    <xf numFmtId="0" fontId="59" fillId="7" borderId="14" xfId="0" applyFont="1" applyFill="1" applyBorder="1" applyAlignment="1">
      <alignment horizontal="center"/>
    </xf>
    <xf numFmtId="167" fontId="59" fillId="7" borderId="14" xfId="0" applyNumberFormat="1" applyFont="1" applyFill="1" applyBorder="1" applyAlignment="1">
      <alignment horizontal="center"/>
    </xf>
    <xf numFmtId="0" fontId="53" fillId="8" borderId="0" xfId="0" applyFont="1" applyFill="1" applyAlignment="1">
      <alignment horizontal="right"/>
    </xf>
    <xf numFmtId="4" fontId="59" fillId="7" borderId="14" xfId="0" applyNumberFormat="1" applyFont="1" applyFill="1" applyBorder="1" applyAlignment="1">
      <alignment horizontal="center"/>
    </xf>
    <xf numFmtId="0" fontId="60" fillId="8" borderId="0" xfId="0" applyFont="1" applyFill="1" applyAlignment="1">
      <alignment horizontal="right" indent="1"/>
    </xf>
    <xf numFmtId="0" fontId="64" fillId="8" borderId="0" xfId="0" applyFont="1" applyFill="1"/>
    <xf numFmtId="0" fontId="65" fillId="8" borderId="0" xfId="0" applyFont="1" applyFill="1" applyAlignment="1">
      <alignment horizontal="right"/>
    </xf>
    <xf numFmtId="0" fontId="60" fillId="8" borderId="0" xfId="0" applyFont="1" applyFill="1" applyAlignment="1">
      <alignment horizontal="right"/>
    </xf>
    <xf numFmtId="0" fontId="65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1" fontId="69" fillId="8" borderId="0" xfId="0" applyNumberFormat="1" applyFont="1" applyFill="1" applyAlignment="1">
      <alignment horizontal="center"/>
    </xf>
    <xf numFmtId="1" fontId="65" fillId="7" borderId="14" xfId="0" applyNumberFormat="1" applyFont="1" applyFill="1" applyBorder="1" applyAlignment="1">
      <alignment horizontal="right" indent="1"/>
    </xf>
    <xf numFmtId="0" fontId="65" fillId="7" borderId="0" xfId="0" applyFont="1" applyFill="1"/>
    <xf numFmtId="0" fontId="58" fillId="7" borderId="0" xfId="0" applyFont="1" applyFill="1"/>
    <xf numFmtId="4" fontId="69" fillId="8" borderId="0" xfId="0" applyNumberFormat="1" applyFont="1" applyFill="1" applyAlignment="1">
      <alignment horizontal="center"/>
    </xf>
    <xf numFmtId="3" fontId="69" fillId="8" borderId="0" xfId="0" applyNumberFormat="1" applyFont="1" applyFill="1" applyAlignment="1">
      <alignment horizontal="center"/>
    </xf>
    <xf numFmtId="4" fontId="53" fillId="7" borderId="14" xfId="0" applyNumberFormat="1" applyFont="1" applyFill="1" applyBorder="1"/>
    <xf numFmtId="4" fontId="53" fillId="2" borderId="26" xfId="0" applyNumberFormat="1" applyFont="1" applyFill="1" applyBorder="1"/>
    <xf numFmtId="164" fontId="53" fillId="2" borderId="14" xfId="0" applyNumberFormat="1" applyFont="1" applyFill="1" applyBorder="1"/>
    <xf numFmtId="169" fontId="0" fillId="8" borderId="0" xfId="0" applyNumberFormat="1" applyFill="1"/>
    <xf numFmtId="0" fontId="75" fillId="8" borderId="0" xfId="0" applyFont="1" applyFill="1"/>
    <xf numFmtId="0" fontId="60" fillId="0" borderId="0" xfId="0" applyFont="1" applyAlignment="1">
      <alignment horizontal="right" indent="1"/>
    </xf>
    <xf numFmtId="3" fontId="0" fillId="8" borderId="0" xfId="0" applyNumberFormat="1" applyFill="1" applyAlignment="1">
      <alignment horizontal="center"/>
    </xf>
    <xf numFmtId="0" fontId="53" fillId="2" borderId="12" xfId="0" applyFont="1" applyFill="1" applyBorder="1" applyAlignment="1">
      <alignment horizontal="center" wrapText="1"/>
    </xf>
    <xf numFmtId="0" fontId="53" fillId="2" borderId="14" xfId="0" applyFont="1" applyFill="1" applyBorder="1" applyAlignment="1">
      <alignment horizontal="center" wrapText="1"/>
    </xf>
    <xf numFmtId="0" fontId="53" fillId="2" borderId="13" xfId="0" applyFont="1" applyFill="1" applyBorder="1" applyAlignment="1">
      <alignment horizontal="center" wrapText="1"/>
    </xf>
    <xf numFmtId="0" fontId="49" fillId="2" borderId="13" xfId="0" applyFont="1" applyFill="1" applyBorder="1" applyAlignment="1">
      <alignment horizontal="right"/>
    </xf>
    <xf numFmtId="0" fontId="69" fillId="8" borderId="18" xfId="0" applyFont="1" applyFill="1" applyBorder="1" applyAlignment="1">
      <alignment horizontal="right"/>
    </xf>
    <xf numFmtId="0" fontId="53" fillId="2" borderId="12" xfId="0" applyFont="1" applyFill="1" applyBorder="1" applyAlignment="1">
      <alignment horizontal="right"/>
    </xf>
    <xf numFmtId="0" fontId="35" fillId="2" borderId="13" xfId="0" applyFont="1" applyFill="1" applyBorder="1" applyAlignment="1">
      <alignment horizontal="center"/>
    </xf>
    <xf numFmtId="0" fontId="53" fillId="2" borderId="18" xfId="0" applyFont="1" applyFill="1" applyBorder="1" applyAlignment="1">
      <alignment horizontal="right"/>
    </xf>
    <xf numFmtId="0" fontId="35" fillId="2" borderId="18" xfId="0" applyFont="1" applyFill="1" applyBorder="1" applyAlignment="1">
      <alignment horizontal="center"/>
    </xf>
    <xf numFmtId="0" fontId="60" fillId="0" borderId="18" xfId="0" applyFont="1" applyBorder="1" applyAlignment="1">
      <alignment horizontal="left"/>
    </xf>
    <xf numFmtId="166" fontId="60" fillId="7" borderId="13" xfId="0" applyNumberFormat="1" applyFont="1" applyFill="1" applyBorder="1" applyAlignment="1">
      <alignment horizontal="right"/>
    </xf>
    <xf numFmtId="0" fontId="69" fillId="8" borderId="18" xfId="0" applyFont="1" applyFill="1" applyBorder="1"/>
    <xf numFmtId="166" fontId="69" fillId="8" borderId="18" xfId="0" applyNumberFormat="1" applyFont="1" applyFill="1" applyBorder="1"/>
    <xf numFmtId="166" fontId="60" fillId="8" borderId="12" xfId="0" applyNumberFormat="1" applyFont="1" applyFill="1" applyBorder="1"/>
    <xf numFmtId="166" fontId="60" fillId="7" borderId="13" xfId="0" applyNumberFormat="1" applyFont="1" applyFill="1" applyBorder="1"/>
    <xf numFmtId="166" fontId="60" fillId="8" borderId="18" xfId="0" applyNumberFormat="1" applyFont="1" applyFill="1" applyBorder="1"/>
    <xf numFmtId="166" fontId="59" fillId="8" borderId="12" xfId="0" applyNumberFormat="1" applyFont="1" applyFill="1" applyBorder="1"/>
    <xf numFmtId="166" fontId="59" fillId="7" borderId="13" xfId="0" applyNumberFormat="1" applyFont="1" applyFill="1" applyBorder="1"/>
    <xf numFmtId="166" fontId="0" fillId="8" borderId="0" xfId="0" applyNumberFormat="1" applyFill="1"/>
    <xf numFmtId="166" fontId="0" fillId="0" borderId="0" xfId="0" applyNumberFormat="1"/>
    <xf numFmtId="0" fontId="53" fillId="0" borderId="18" xfId="0" applyFont="1" applyBorder="1"/>
    <xf numFmtId="16" fontId="48" fillId="7" borderId="18" xfId="0" quotePrefix="1" applyNumberFormat="1" applyFont="1" applyFill="1" applyBorder="1" applyAlignment="1">
      <alignment horizontal="left"/>
    </xf>
    <xf numFmtId="166" fontId="65" fillId="7" borderId="13" xfId="0" applyNumberFormat="1" applyFont="1" applyFill="1" applyBorder="1" applyAlignment="1">
      <alignment horizontal="right"/>
    </xf>
    <xf numFmtId="166" fontId="53" fillId="8" borderId="12" xfId="0" applyNumberFormat="1" applyFont="1" applyFill="1" applyBorder="1"/>
    <xf numFmtId="166" fontId="53" fillId="7" borderId="13" xfId="0" applyNumberFormat="1" applyFont="1" applyFill="1" applyBorder="1"/>
    <xf numFmtId="166" fontId="53" fillId="8" borderId="1" xfId="0" quotePrefix="1" applyNumberFormat="1" applyFont="1" applyFill="1" applyBorder="1"/>
    <xf numFmtId="166" fontId="0" fillId="0" borderId="2" xfId="0" applyNumberFormat="1" applyBorder="1"/>
    <xf numFmtId="166" fontId="53" fillId="7" borderId="3" xfId="0" applyNumberFormat="1" applyFont="1" applyFill="1" applyBorder="1"/>
    <xf numFmtId="166" fontId="53" fillId="8" borderId="2" xfId="0" applyNumberFormat="1" applyFont="1" applyFill="1" applyBorder="1"/>
    <xf numFmtId="166" fontId="53" fillId="8" borderId="1" xfId="0" applyNumberFormat="1" applyFont="1" applyFill="1" applyBorder="1"/>
    <xf numFmtId="166" fontId="53" fillId="8" borderId="4" xfId="0" quotePrefix="1" applyNumberFormat="1" applyFont="1" applyFill="1" applyBorder="1"/>
    <xf numFmtId="166" fontId="53" fillId="0" borderId="18" xfId="0" applyNumberFormat="1" applyFont="1" applyBorder="1"/>
    <xf numFmtId="166" fontId="53" fillId="0" borderId="18" xfId="0" quotePrefix="1" applyNumberFormat="1" applyFont="1" applyBorder="1"/>
    <xf numFmtId="166" fontId="0" fillId="0" borderId="18" xfId="0" applyNumberFormat="1" applyBorder="1"/>
    <xf numFmtId="166" fontId="53" fillId="8" borderId="0" xfId="0" applyNumberFormat="1" applyFont="1" applyFill="1"/>
    <xf numFmtId="166" fontId="59" fillId="7" borderId="14" xfId="0" applyNumberFormat="1" applyFont="1" applyFill="1" applyBorder="1"/>
    <xf numFmtId="166" fontId="53" fillId="7" borderId="8" xfId="0" applyNumberFormat="1" applyFont="1" applyFill="1" applyBorder="1"/>
    <xf numFmtId="166" fontId="53" fillId="8" borderId="7" xfId="0" applyNumberFormat="1" applyFont="1" applyFill="1" applyBorder="1"/>
    <xf numFmtId="166" fontId="53" fillId="8" borderId="6" xfId="0" applyNumberFormat="1" applyFont="1" applyFill="1" applyBorder="1"/>
    <xf numFmtId="16" fontId="53" fillId="0" borderId="18" xfId="0" applyNumberFormat="1" applyFont="1" applyBorder="1"/>
    <xf numFmtId="166" fontId="53" fillId="8" borderId="18" xfId="0" applyNumberFormat="1" applyFont="1" applyFill="1" applyBorder="1"/>
    <xf numFmtId="16" fontId="53" fillId="7" borderId="18" xfId="0" quotePrefix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6" fontId="58" fillId="0" borderId="0" xfId="0" applyNumberFormat="1" applyFont="1" applyAlignment="1">
      <alignment horizontal="left"/>
    </xf>
    <xf numFmtId="166" fontId="0" fillId="8" borderId="0" xfId="0" applyNumberFormat="1" applyFill="1" applyAlignment="1">
      <alignment horizontal="left"/>
    </xf>
    <xf numFmtId="0" fontId="59" fillId="0" borderId="18" xfId="0" applyFont="1" applyBorder="1"/>
    <xf numFmtId="166" fontId="59" fillId="8" borderId="0" xfId="0" applyNumberFormat="1" applyFont="1" applyFill="1"/>
    <xf numFmtId="49" fontId="53" fillId="0" borderId="18" xfId="0" applyNumberFormat="1" applyFont="1" applyBorder="1"/>
    <xf numFmtId="0" fontId="48" fillId="7" borderId="18" xfId="0" applyFont="1" applyFill="1" applyBorder="1" applyAlignment="1">
      <alignment horizontal="left"/>
    </xf>
    <xf numFmtId="166" fontId="53" fillId="8" borderId="12" xfId="0" quotePrefix="1" applyNumberFormat="1" applyFont="1" applyFill="1" applyBorder="1"/>
    <xf numFmtId="166" fontId="53" fillId="0" borderId="13" xfId="0" applyNumberFormat="1" applyFont="1" applyBorder="1"/>
    <xf numFmtId="166" fontId="53" fillId="8" borderId="6" xfId="0" quotePrefix="1" applyNumberFormat="1" applyFont="1" applyFill="1" applyBorder="1"/>
    <xf numFmtId="166" fontId="0" fillId="8" borderId="2" xfId="0" applyNumberFormat="1" applyFill="1" applyBorder="1"/>
    <xf numFmtId="0" fontId="65" fillId="7" borderId="18" xfId="0" applyFont="1" applyFill="1" applyBorder="1" applyAlignment="1">
      <alignment horizontal="left" vertical="center"/>
    </xf>
    <xf numFmtId="166" fontId="0" fillId="8" borderId="4" xfId="0" applyNumberFormat="1" applyFill="1" applyBorder="1"/>
    <xf numFmtId="49" fontId="53" fillId="7" borderId="18" xfId="0" applyNumberFormat="1" applyFont="1" applyFill="1" applyBorder="1"/>
    <xf numFmtId="0" fontId="83" fillId="7" borderId="18" xfId="0" applyFont="1" applyFill="1" applyBorder="1" applyAlignment="1">
      <alignment horizontal="left"/>
    </xf>
    <xf numFmtId="0" fontId="37" fillId="7" borderId="18" xfId="0" applyFont="1" applyFill="1" applyBorder="1" applyAlignment="1">
      <alignment horizontal="left"/>
    </xf>
    <xf numFmtId="166" fontId="53" fillId="0" borderId="0" xfId="0" applyNumberFormat="1" applyFont="1"/>
    <xf numFmtId="0" fontId="60" fillId="7" borderId="18" xfId="0" applyFont="1" applyFill="1" applyBorder="1" applyAlignment="1">
      <alignment horizontal="left"/>
    </xf>
    <xf numFmtId="0" fontId="60" fillId="0" borderId="18" xfId="0" applyFont="1" applyBorder="1"/>
    <xf numFmtId="16" fontId="53" fillId="7" borderId="18" xfId="0" applyNumberFormat="1" applyFont="1" applyFill="1" applyBorder="1"/>
    <xf numFmtId="16" fontId="48" fillId="7" borderId="18" xfId="0" quotePrefix="1" applyNumberFormat="1" applyFont="1" applyFill="1" applyBorder="1"/>
    <xf numFmtId="166" fontId="66" fillId="8" borderId="4" xfId="0" applyNumberFormat="1" applyFont="1" applyFill="1" applyBorder="1" applyAlignment="1">
      <alignment vertical="top" wrapText="1"/>
    </xf>
    <xf numFmtId="166" fontId="76" fillId="0" borderId="0" xfId="0" applyNumberFormat="1" applyFont="1" applyAlignment="1">
      <alignment vertical="top" wrapText="1"/>
    </xf>
    <xf numFmtId="166" fontId="76" fillId="8" borderId="0" xfId="0" applyNumberFormat="1" applyFont="1" applyFill="1" applyAlignment="1">
      <alignment vertical="top" wrapText="1"/>
    </xf>
    <xf numFmtId="16" fontId="53" fillId="7" borderId="18" xfId="0" quotePrefix="1" applyNumberFormat="1" applyFont="1" applyFill="1" applyBorder="1"/>
    <xf numFmtId="166" fontId="76" fillId="8" borderId="4" xfId="0" applyNumberFormat="1" applyFont="1" applyFill="1" applyBorder="1" applyAlignment="1">
      <alignment vertical="top" wrapText="1"/>
    </xf>
    <xf numFmtId="0" fontId="76" fillId="0" borderId="5" xfId="0" applyFont="1" applyBorder="1" applyAlignment="1">
      <alignment horizontal="right" indent="1"/>
    </xf>
    <xf numFmtId="166" fontId="76" fillId="8" borderId="4" xfId="0" applyNumberFormat="1" applyFont="1" applyFill="1" applyBorder="1"/>
    <xf numFmtId="166" fontId="76" fillId="0" borderId="0" xfId="0" applyNumberFormat="1" applyFont="1"/>
    <xf numFmtId="166" fontId="76" fillId="8" borderId="0" xfId="0" applyNumberFormat="1" applyFont="1" applyFill="1"/>
    <xf numFmtId="166" fontId="60" fillId="0" borderId="0" xfId="0" applyNumberFormat="1" applyFont="1"/>
    <xf numFmtId="166" fontId="0" fillId="8" borderId="0" xfId="0" applyNumberFormat="1" applyFill="1" applyAlignment="1">
      <alignment horizontal="right" indent="1"/>
    </xf>
    <xf numFmtId="166" fontId="60" fillId="0" borderId="0" xfId="0" applyNumberFormat="1" applyFont="1" applyAlignment="1">
      <alignment horizontal="right" indent="1"/>
    </xf>
    <xf numFmtId="166" fontId="60" fillId="8" borderId="0" xfId="0" applyNumberFormat="1" applyFont="1" applyFill="1" applyAlignment="1">
      <alignment horizontal="right" indent="1"/>
    </xf>
    <xf numFmtId="166" fontId="53" fillId="8" borderId="0" xfId="0" applyNumberFormat="1" applyFont="1" applyFill="1" applyAlignment="1">
      <alignment horizontal="right" indent="1"/>
    </xf>
    <xf numFmtId="166" fontId="0" fillId="0" borderId="0" xfId="0" applyNumberFormat="1" applyAlignment="1">
      <alignment horizontal="right" indent="1"/>
    </xf>
    <xf numFmtId="0" fontId="64" fillId="2" borderId="18" xfId="0" applyFont="1" applyFill="1" applyBorder="1" applyAlignment="1">
      <alignment horizontal="left"/>
    </xf>
    <xf numFmtId="166" fontId="65" fillId="8" borderId="12" xfId="0" applyNumberFormat="1" applyFont="1" applyFill="1" applyBorder="1" applyAlignment="1">
      <alignment horizontal="right" indent="1"/>
    </xf>
    <xf numFmtId="166" fontId="65" fillId="7" borderId="13" xfId="0" applyNumberFormat="1" applyFont="1" applyFill="1" applyBorder="1" applyAlignment="1">
      <alignment horizontal="right" indent="1"/>
    </xf>
    <xf numFmtId="166" fontId="65" fillId="8" borderId="18" xfId="0" applyNumberFormat="1" applyFont="1" applyFill="1" applyBorder="1"/>
    <xf numFmtId="166" fontId="65" fillId="7" borderId="13" xfId="0" applyNumberFormat="1" applyFont="1" applyFill="1" applyBorder="1"/>
    <xf numFmtId="166" fontId="64" fillId="8" borderId="0" xfId="0" applyNumberFormat="1" applyFont="1" applyFill="1" applyAlignment="1">
      <alignment horizontal="left"/>
    </xf>
    <xf numFmtId="166" fontId="53" fillId="8" borderId="0" xfId="0" applyNumberFormat="1" applyFont="1" applyFill="1" applyAlignment="1">
      <alignment horizontal="right"/>
    </xf>
    <xf numFmtId="166" fontId="59" fillId="0" borderId="0" xfId="0" applyNumberFormat="1" applyFont="1" applyAlignment="1">
      <alignment horizontal="right"/>
    </xf>
    <xf numFmtId="166" fontId="59" fillId="8" borderId="0" xfId="0" applyNumberFormat="1" applyFont="1" applyFill="1" applyAlignment="1">
      <alignment horizontal="right"/>
    </xf>
    <xf numFmtId="0" fontId="66" fillId="0" borderId="0" xfId="0" applyFont="1" applyAlignment="1">
      <alignment horizontal="left"/>
    </xf>
    <xf numFmtId="0" fontId="64" fillId="0" borderId="0" xfId="0" applyFont="1" applyAlignment="1">
      <alignment horizontal="right"/>
    </xf>
    <xf numFmtId="0" fontId="64" fillId="8" borderId="0" xfId="0" applyFont="1" applyFill="1" applyAlignment="1">
      <alignment horizontal="right"/>
    </xf>
    <xf numFmtId="4" fontId="64" fillId="0" borderId="0" xfId="0" applyNumberFormat="1" applyFont="1" applyAlignment="1">
      <alignment horizontal="right"/>
    </xf>
    <xf numFmtId="164" fontId="60" fillId="7" borderId="15" xfId="0" applyNumberFormat="1" applyFont="1" applyFill="1" applyBorder="1" applyAlignment="1">
      <alignment horizontal="right" indent="1"/>
    </xf>
    <xf numFmtId="0" fontId="59" fillId="8" borderId="0" xfId="0" applyFont="1" applyFill="1" applyAlignment="1">
      <alignment horizontal="right"/>
    </xf>
    <xf numFmtId="164" fontId="60" fillId="8" borderId="10" xfId="0" applyNumberFormat="1" applyFont="1" applyFill="1" applyBorder="1" applyAlignment="1">
      <alignment horizontal="right"/>
    </xf>
    <xf numFmtId="0" fontId="59" fillId="0" borderId="0" xfId="0" applyFont="1" applyAlignment="1">
      <alignment horizontal="left"/>
    </xf>
    <xf numFmtId="164" fontId="111" fillId="0" borderId="0" xfId="0" applyNumberFormat="1" applyFont="1" applyAlignment="1">
      <alignment horizontal="right" indent="1"/>
    </xf>
    <xf numFmtId="0" fontId="59" fillId="0" borderId="7" xfId="0" applyFont="1" applyBorder="1"/>
    <xf numFmtId="0" fontId="59" fillId="0" borderId="7" xfId="0" applyFont="1" applyBorder="1" applyAlignment="1">
      <alignment horizontal="right"/>
    </xf>
    <xf numFmtId="0" fontId="53" fillId="0" borderId="7" xfId="0" applyFont="1" applyBorder="1"/>
    <xf numFmtId="0" fontId="57" fillId="2" borderId="59" xfId="0" applyFont="1" applyFill="1" applyBorder="1" applyAlignment="1">
      <alignment vertical="center"/>
    </xf>
    <xf numFmtId="0" fontId="78" fillId="2" borderId="58" xfId="0" applyFont="1" applyFill="1" applyBorder="1" applyAlignment="1">
      <alignment vertical="center"/>
    </xf>
    <xf numFmtId="0" fontId="89" fillId="2" borderId="58" xfId="0" applyFont="1" applyFill="1" applyBorder="1" applyAlignment="1">
      <alignment vertical="center"/>
    </xf>
    <xf numFmtId="0" fontId="45" fillId="2" borderId="60" xfId="0" applyFont="1" applyFill="1" applyBorder="1"/>
    <xf numFmtId="0" fontId="57" fillId="2" borderId="31" xfId="0" applyFont="1" applyFill="1" applyBorder="1" applyAlignment="1">
      <alignment vertical="center"/>
    </xf>
    <xf numFmtId="0" fontId="89" fillId="2" borderId="0" xfId="0" applyFont="1" applyFill="1" applyAlignment="1">
      <alignment vertical="center"/>
    </xf>
    <xf numFmtId="0" fontId="45" fillId="2" borderId="30" xfId="0" applyFont="1" applyFill="1" applyBorder="1"/>
    <xf numFmtId="0" fontId="60" fillId="21" borderId="59" xfId="0" applyFont="1" applyFill="1" applyBorder="1" applyAlignment="1">
      <alignment vertical="center"/>
    </xf>
    <xf numFmtId="0" fontId="60" fillId="21" borderId="58" xfId="0" applyFont="1" applyFill="1" applyBorder="1" applyAlignment="1">
      <alignment vertical="center"/>
    </xf>
    <xf numFmtId="0" fontId="60" fillId="21" borderId="58" xfId="0" applyFont="1" applyFill="1" applyBorder="1"/>
    <xf numFmtId="0" fontId="65" fillId="21" borderId="58" xfId="0" applyFont="1" applyFill="1" applyBorder="1" applyAlignment="1">
      <alignment vertical="center"/>
    </xf>
    <xf numFmtId="0" fontId="45" fillId="21" borderId="60" xfId="0" applyFont="1" applyFill="1" applyBorder="1"/>
    <xf numFmtId="0" fontId="60" fillId="21" borderId="31" xfId="0" applyFont="1" applyFill="1" applyBorder="1" applyAlignment="1">
      <alignment vertical="center"/>
    </xf>
    <xf numFmtId="0" fontId="60" fillId="21" borderId="0" xfId="0" applyFont="1" applyFill="1" applyAlignment="1">
      <alignment vertical="center"/>
    </xf>
    <xf numFmtId="0" fontId="60" fillId="21" borderId="0" xfId="0" applyFont="1" applyFill="1"/>
    <xf numFmtId="0" fontId="65" fillId="21" borderId="0" xfId="0" applyFont="1" applyFill="1" applyAlignment="1">
      <alignment vertical="center"/>
    </xf>
    <xf numFmtId="0" fontId="45" fillId="21" borderId="30" xfId="0" applyFont="1" applyFill="1" applyBorder="1"/>
    <xf numFmtId="0" fontId="60" fillId="21" borderId="61" xfId="0" applyFont="1" applyFill="1" applyBorder="1" applyAlignment="1">
      <alignment vertical="center"/>
    </xf>
    <xf numFmtId="0" fontId="60" fillId="21" borderId="62" xfId="0" applyFont="1" applyFill="1" applyBorder="1" applyAlignment="1">
      <alignment horizontal="left" vertical="center"/>
    </xf>
    <xf numFmtId="1" fontId="60" fillId="21" borderId="62" xfId="0" applyNumberFormat="1" applyFont="1" applyFill="1" applyBorder="1" applyAlignment="1">
      <alignment vertical="center"/>
    </xf>
    <xf numFmtId="0" fontId="60" fillId="21" borderId="62" xfId="0" applyFont="1" applyFill="1" applyBorder="1" applyAlignment="1">
      <alignment vertical="center"/>
    </xf>
    <xf numFmtId="14" fontId="65" fillId="21" borderId="62" xfId="0" applyNumberFormat="1" applyFont="1" applyFill="1" applyBorder="1" applyAlignment="1">
      <alignment horizontal="left" vertical="center"/>
    </xf>
    <xf numFmtId="0" fontId="65" fillId="21" borderId="62" xfId="0" applyFont="1" applyFill="1" applyBorder="1" applyAlignment="1">
      <alignment vertical="center"/>
    </xf>
    <xf numFmtId="0" fontId="45" fillId="21" borderId="63" xfId="0" applyFont="1" applyFill="1" applyBorder="1"/>
    <xf numFmtId="0" fontId="65" fillId="21" borderId="59" xfId="0" applyFont="1" applyFill="1" applyBorder="1" applyAlignment="1">
      <alignment vertical="center"/>
    </xf>
    <xf numFmtId="49" fontId="133" fillId="21" borderId="0" xfId="0" applyNumberFormat="1" applyFont="1" applyFill="1" applyAlignment="1">
      <alignment horizontal="center" vertical="center"/>
    </xf>
    <xf numFmtId="49" fontId="60" fillId="16" borderId="20" xfId="0" applyNumberFormat="1" applyFont="1" applyFill="1" applyBorder="1" applyAlignment="1">
      <alignment horizontal="center" vertical="center"/>
    </xf>
    <xf numFmtId="49" fontId="60" fillId="21" borderId="0" xfId="0" applyNumberFormat="1" applyFont="1" applyFill="1" applyAlignment="1">
      <alignment horizontal="center" vertical="center"/>
    </xf>
    <xf numFmtId="0" fontId="65" fillId="21" borderId="31" xfId="0" applyFont="1" applyFill="1" applyBorder="1" applyAlignment="1">
      <alignment vertical="center"/>
    </xf>
    <xf numFmtId="0" fontId="60" fillId="21" borderId="0" xfId="0" applyFont="1" applyFill="1" applyAlignment="1">
      <alignment horizontal="left" vertical="center"/>
    </xf>
    <xf numFmtId="186" fontId="45" fillId="21" borderId="0" xfId="0" applyNumberFormat="1" applyFont="1" applyFill="1" applyAlignment="1">
      <alignment horizontal="left"/>
    </xf>
    <xf numFmtId="0" fontId="60" fillId="21" borderId="0" xfId="0" applyFont="1" applyFill="1" applyAlignment="1">
      <alignment horizontal="left"/>
    </xf>
    <xf numFmtId="0" fontId="45" fillId="21" borderId="31" xfId="0" applyFont="1" applyFill="1" applyBorder="1"/>
    <xf numFmtId="0" fontId="45" fillId="21" borderId="0" xfId="0" applyFont="1" applyFill="1"/>
    <xf numFmtId="0" fontId="60" fillId="21" borderId="0" xfId="0" applyFont="1" applyFill="1" applyAlignment="1">
      <alignment horizontal="right"/>
    </xf>
    <xf numFmtId="49" fontId="60" fillId="21" borderId="0" xfId="0" applyNumberFormat="1" applyFont="1" applyFill="1" applyAlignment="1">
      <alignment horizontal="left" vertical="center"/>
    </xf>
    <xf numFmtId="165" fontId="60" fillId="21" borderId="0" xfId="0" applyNumberFormat="1" applyFont="1" applyFill="1" applyAlignment="1">
      <alignment vertical="center"/>
    </xf>
    <xf numFmtId="0" fontId="60" fillId="21" borderId="1" xfId="0" applyFont="1" applyFill="1" applyBorder="1" applyAlignment="1">
      <alignment vertical="center"/>
    </xf>
    <xf numFmtId="0" fontId="60" fillId="21" borderId="2" xfId="0" applyFont="1" applyFill="1" applyBorder="1" applyAlignment="1">
      <alignment vertical="center"/>
    </xf>
    <xf numFmtId="0" fontId="45" fillId="21" borderId="33" xfId="0" applyFont="1" applyFill="1" applyBorder="1"/>
    <xf numFmtId="0" fontId="60" fillId="21" borderId="31" xfId="0" applyFont="1" applyFill="1" applyBorder="1" applyAlignment="1">
      <alignment horizontal="center" vertical="center"/>
    </xf>
    <xf numFmtId="0" fontId="60" fillId="21" borderId="0" xfId="0" applyFont="1" applyFill="1" applyAlignment="1">
      <alignment horizontal="center" vertical="center"/>
    </xf>
    <xf numFmtId="0" fontId="60" fillId="21" borderId="4" xfId="0" applyFont="1" applyFill="1" applyBorder="1" applyAlignment="1">
      <alignment vertical="center"/>
    </xf>
    <xf numFmtId="0" fontId="60" fillId="21" borderId="6" xfId="0" applyFont="1" applyFill="1" applyBorder="1" applyAlignment="1">
      <alignment vertical="center"/>
    </xf>
    <xf numFmtId="0" fontId="60" fillId="21" borderId="61" xfId="0" applyFont="1" applyFill="1" applyBorder="1" applyAlignment="1">
      <alignment horizontal="left" vertical="center"/>
    </xf>
    <xf numFmtId="0" fontId="60" fillId="21" borderId="62" xfId="0" applyFont="1" applyFill="1" applyBorder="1" applyAlignment="1">
      <alignment horizontal="left" vertical="top"/>
    </xf>
    <xf numFmtId="0" fontId="65" fillId="21" borderId="62" xfId="0" applyFont="1" applyFill="1" applyBorder="1" applyAlignment="1">
      <alignment horizontal="left" vertical="top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0" fillId="21" borderId="93" xfId="0" applyFont="1" applyFill="1" applyBorder="1" applyAlignment="1">
      <alignment horizontal="center" wrapText="1"/>
    </xf>
    <xf numFmtId="0" fontId="60" fillId="21" borderId="19" xfId="0" applyFont="1" applyFill="1" applyBorder="1" applyAlignment="1">
      <alignment horizontal="center" vertical="center" wrapText="1"/>
    </xf>
    <xf numFmtId="0" fontId="60" fillId="21" borderId="21" xfId="0" applyFont="1" applyFill="1" applyBorder="1" applyAlignment="1">
      <alignment horizontal="center" vertical="center" wrapText="1"/>
    </xf>
    <xf numFmtId="0" fontId="60" fillId="19" borderId="35" xfId="0" applyFont="1" applyFill="1" applyBorder="1" applyAlignment="1">
      <alignment horizontal="center" vertical="top" wrapText="1"/>
    </xf>
    <xf numFmtId="0" fontId="60" fillId="21" borderId="0" xfId="0" applyFont="1" applyFill="1" applyAlignment="1">
      <alignment horizontal="center" vertical="top" wrapText="1"/>
    </xf>
    <xf numFmtId="0" fontId="60" fillId="21" borderId="4" xfId="0" applyFont="1" applyFill="1" applyBorder="1" applyAlignment="1">
      <alignment horizontal="center" vertical="top" wrapText="1"/>
    </xf>
    <xf numFmtId="0" fontId="126" fillId="26" borderId="0" xfId="0" applyFont="1" applyFill="1" applyAlignment="1">
      <alignment horizontal="center" vertical="top" wrapText="1"/>
    </xf>
    <xf numFmtId="0" fontId="70" fillId="19" borderId="21" xfId="0" applyFont="1" applyFill="1" applyBorder="1" applyAlignment="1">
      <alignment vertical="top" wrapText="1"/>
    </xf>
    <xf numFmtId="0" fontId="137" fillId="26" borderId="0" xfId="0" applyFont="1" applyFill="1" applyAlignment="1">
      <alignment horizontal="center" vertical="center" wrapText="1"/>
    </xf>
    <xf numFmtId="0" fontId="138" fillId="26" borderId="2" xfId="0" applyFont="1" applyFill="1" applyBorder="1" applyAlignment="1">
      <alignment horizontal="center" vertical="top" wrapText="1"/>
    </xf>
    <xf numFmtId="0" fontId="45" fillId="26" borderId="103" xfId="0" applyFont="1" applyFill="1" applyBorder="1"/>
    <xf numFmtId="0" fontId="59" fillId="6" borderId="59" xfId="0" applyFont="1" applyFill="1" applyBorder="1"/>
    <xf numFmtId="0" fontId="70" fillId="6" borderId="10" xfId="0" applyFont="1" applyFill="1" applyBorder="1"/>
    <xf numFmtId="0" fontId="45" fillId="6" borderId="10" xfId="0" applyFont="1" applyFill="1" applyBorder="1"/>
    <xf numFmtId="0" fontId="45" fillId="6" borderId="10" xfId="0" applyFont="1" applyFill="1" applyBorder="1" applyAlignment="1">
      <alignment wrapText="1"/>
    </xf>
    <xf numFmtId="0" fontId="139" fillId="6" borderId="10" xfId="0" applyFont="1" applyFill="1" applyBorder="1"/>
    <xf numFmtId="0" fontId="139" fillId="6" borderId="11" xfId="0" applyFont="1" applyFill="1" applyBorder="1"/>
    <xf numFmtId="4" fontId="45" fillId="6" borderId="14" xfId="0" applyNumberFormat="1" applyFont="1" applyFill="1" applyBorder="1" applyAlignment="1">
      <alignment horizontal="center"/>
    </xf>
    <xf numFmtId="4" fontId="45" fillId="0" borderId="21" xfId="0" applyNumberFormat="1" applyFont="1" applyBorder="1" applyAlignment="1">
      <alignment horizontal="center"/>
    </xf>
    <xf numFmtId="4" fontId="45" fillId="0" borderId="104" xfId="0" applyNumberFormat="1" applyFont="1" applyBorder="1" applyAlignment="1">
      <alignment horizontal="center"/>
    </xf>
    <xf numFmtId="49" fontId="60" fillId="32" borderId="114" xfId="0" applyNumberFormat="1" applyFont="1" applyFill="1" applyBorder="1"/>
    <xf numFmtId="49" fontId="60" fillId="32" borderId="13" xfId="0" applyNumberFormat="1" applyFont="1" applyFill="1" applyBorder="1"/>
    <xf numFmtId="165" fontId="45" fillId="32" borderId="13" xfId="0" applyNumberFormat="1" applyFont="1" applyFill="1" applyBorder="1" applyAlignment="1">
      <alignment horizontal="center"/>
    </xf>
    <xf numFmtId="1" fontId="45" fillId="32" borderId="13" xfId="0" applyNumberFormat="1" applyFont="1" applyFill="1" applyBorder="1" applyAlignment="1">
      <alignment horizontal="center"/>
    </xf>
    <xf numFmtId="4" fontId="45" fillId="32" borderId="13" xfId="0" applyNumberFormat="1" applyFont="1" applyFill="1" applyBorder="1" applyAlignment="1">
      <alignment horizontal="center"/>
    </xf>
    <xf numFmtId="4" fontId="45" fillId="32" borderId="14" xfId="0" applyNumberFormat="1" applyFont="1" applyFill="1" applyBorder="1" applyAlignment="1">
      <alignment horizontal="center"/>
    </xf>
    <xf numFmtId="4" fontId="45" fillId="32" borderId="21" xfId="0" applyNumberFormat="1" applyFont="1" applyFill="1" applyBorder="1" applyAlignment="1">
      <alignment horizontal="center"/>
    </xf>
    <xf numFmtId="4" fontId="45" fillId="32" borderId="104" xfId="0" applyNumberFormat="1" applyFont="1" applyFill="1" applyBorder="1" applyAlignment="1">
      <alignment horizontal="center"/>
    </xf>
    <xf numFmtId="0" fontId="45" fillId="7" borderId="32" xfId="0" applyFont="1" applyFill="1" applyBorder="1" applyAlignment="1">
      <alignment horizontal="center"/>
    </xf>
    <xf numFmtId="0" fontId="59" fillId="0" borderId="22" xfId="0" applyFont="1" applyBorder="1" applyAlignment="1">
      <alignment horizontal="left"/>
    </xf>
    <xf numFmtId="0" fontId="59" fillId="0" borderId="105" xfId="0" applyFont="1" applyBorder="1" applyAlignment="1">
      <alignment horizontal="left"/>
    </xf>
    <xf numFmtId="165" fontId="59" fillId="16" borderId="106" xfId="0" applyNumberFormat="1" applyFont="1" applyFill="1" applyBorder="1" applyAlignment="1">
      <alignment horizontal="center"/>
    </xf>
    <xf numFmtId="4" fontId="59" fillId="0" borderId="10" xfId="0" applyNumberFormat="1" applyFont="1" applyBorder="1" applyAlignment="1">
      <alignment horizontal="center"/>
    </xf>
    <xf numFmtId="181" fontId="25" fillId="16" borderId="9" xfId="0" applyNumberFormat="1" applyFont="1" applyFill="1" applyBorder="1" applyAlignment="1">
      <alignment horizontal="center"/>
    </xf>
    <xf numFmtId="181" fontId="45" fillId="16" borderId="9" xfId="0" applyNumberFormat="1" applyFont="1" applyFill="1" applyBorder="1" applyAlignment="1">
      <alignment horizontal="center"/>
    </xf>
    <xf numFmtId="164" fontId="25" fillId="16" borderId="9" xfId="0" applyNumberFormat="1" applyFont="1" applyFill="1" applyBorder="1" applyAlignment="1">
      <alignment horizontal="center"/>
    </xf>
    <xf numFmtId="181" fontId="59" fillId="16" borderId="15" xfId="0" applyNumberFormat="1" applyFont="1" applyFill="1" applyBorder="1" applyAlignment="1">
      <alignment horizontal="center"/>
    </xf>
    <xf numFmtId="0" fontId="45" fillId="0" borderId="31" xfId="0" applyFont="1" applyBorder="1"/>
    <xf numFmtId="181" fontId="145" fillId="16" borderId="15" xfId="0" applyNumberFormat="1" applyFont="1" applyFill="1" applyBorder="1" applyAlignment="1">
      <alignment horizontal="center"/>
    </xf>
    <xf numFmtId="0" fontId="59" fillId="0" borderId="31" xfId="0" applyFont="1" applyBorder="1"/>
    <xf numFmtId="0" fontId="139" fillId="0" borderId="0" xfId="0" applyFont="1"/>
    <xf numFmtId="0" fontId="70" fillId="0" borderId="30" xfId="0" applyFont="1" applyBorder="1"/>
    <xf numFmtId="4" fontId="45" fillId="0" borderId="14" xfId="0" applyNumberFormat="1" applyFont="1" applyBorder="1" applyAlignment="1">
      <alignment horizontal="center"/>
    </xf>
    <xf numFmtId="4" fontId="45" fillId="0" borderId="33" xfId="0" applyNumberFormat="1" applyFont="1" applyBorder="1" applyAlignment="1">
      <alignment horizontal="center"/>
    </xf>
    <xf numFmtId="1" fontId="45" fillId="30" borderId="13" xfId="0" applyNumberFormat="1" applyFont="1" applyFill="1" applyBorder="1" applyAlignment="1">
      <alignment horizontal="center"/>
    </xf>
    <xf numFmtId="4" fontId="45" fillId="30" borderId="13" xfId="0" applyNumberFormat="1" applyFont="1" applyFill="1" applyBorder="1" applyAlignment="1">
      <alignment horizontal="center"/>
    </xf>
    <xf numFmtId="4" fontId="45" fillId="30" borderId="33" xfId="0" applyNumberFormat="1" applyFont="1" applyFill="1" applyBorder="1" applyAlignment="1">
      <alignment horizontal="center"/>
    </xf>
    <xf numFmtId="4" fontId="45" fillId="0" borderId="96" xfId="0" applyNumberFormat="1" applyFont="1" applyBorder="1" applyAlignment="1">
      <alignment horizontal="center"/>
    </xf>
    <xf numFmtId="0" fontId="59" fillId="0" borderId="9" xfId="0" applyFont="1" applyBorder="1" applyAlignment="1">
      <alignment horizontal="left"/>
    </xf>
    <xf numFmtId="0" fontId="59" fillId="0" borderId="10" xfId="0" applyFont="1" applyBorder="1" applyAlignment="1">
      <alignment horizontal="left"/>
    </xf>
    <xf numFmtId="181" fontId="22" fillId="6" borderId="9" xfId="0" applyNumberFormat="1" applyFont="1" applyFill="1" applyBorder="1" applyAlignment="1">
      <alignment horizontal="center"/>
    </xf>
    <xf numFmtId="0" fontId="59" fillId="6" borderId="31" xfId="0" applyFont="1" applyFill="1" applyBorder="1"/>
    <xf numFmtId="0" fontId="59" fillId="6" borderId="0" xfId="0" applyFont="1" applyFill="1"/>
    <xf numFmtId="0" fontId="45" fillId="6" borderId="0" xfId="0" applyFont="1" applyFill="1"/>
    <xf numFmtId="0" fontId="45" fillId="0" borderId="62" xfId="0" applyFont="1" applyBorder="1"/>
    <xf numFmtId="0" fontId="45" fillId="0" borderId="63" xfId="0" applyFont="1" applyBorder="1"/>
    <xf numFmtId="0" fontId="59" fillId="0" borderId="15" xfId="0" applyFont="1" applyBorder="1" applyAlignment="1">
      <alignment horizontal="center"/>
    </xf>
    <xf numFmtId="165" fontId="59" fillId="0" borderId="15" xfId="0" applyNumberFormat="1" applyFont="1" applyBorder="1" applyAlignment="1">
      <alignment horizontal="center"/>
    </xf>
    <xf numFmtId="4" fontId="59" fillId="0" borderId="9" xfId="0" applyNumberFormat="1" applyFont="1" applyBorder="1" applyAlignment="1">
      <alignment horizontal="center"/>
    </xf>
    <xf numFmtId="4" fontId="59" fillId="0" borderId="11" xfId="0" applyNumberFormat="1" applyFont="1" applyBorder="1" applyAlignment="1">
      <alignment horizontal="center"/>
    </xf>
    <xf numFmtId="181" fontId="45" fillId="6" borderId="9" xfId="0" applyNumberFormat="1" applyFont="1" applyFill="1" applyBorder="1" applyAlignment="1">
      <alignment horizontal="center"/>
    </xf>
    <xf numFmtId="164" fontId="59" fillId="16" borderId="9" xfId="0" applyNumberFormat="1" applyFont="1" applyFill="1" applyBorder="1" applyAlignment="1">
      <alignment horizontal="center"/>
    </xf>
    <xf numFmtId="0" fontId="45" fillId="0" borderId="60" xfId="0" applyFont="1" applyBorder="1"/>
    <xf numFmtId="10" fontId="59" fillId="0" borderId="9" xfId="0" applyNumberFormat="1" applyFont="1" applyBorder="1" applyAlignment="1">
      <alignment horizontal="center"/>
    </xf>
    <xf numFmtId="0" fontId="59" fillId="0" borderId="9" xfId="0" applyFont="1" applyBorder="1"/>
    <xf numFmtId="0" fontId="45" fillId="0" borderId="10" xfId="0" applyFont="1" applyBorder="1"/>
    <xf numFmtId="0" fontId="45" fillId="0" borderId="11" xfId="0" applyFont="1" applyBorder="1"/>
    <xf numFmtId="181" fontId="59" fillId="18" borderId="15" xfId="0" applyNumberFormat="1" applyFont="1" applyFill="1" applyBorder="1" applyAlignment="1">
      <alignment horizontal="center"/>
    </xf>
    <xf numFmtId="164" fontId="45" fillId="16" borderId="9" xfId="0" applyNumberFormat="1" applyFont="1" applyFill="1" applyBorder="1" applyAlignment="1">
      <alignment horizontal="center"/>
    </xf>
    <xf numFmtId="0" fontId="111" fillId="0" borderId="0" xfId="0" applyFont="1"/>
    <xf numFmtId="10" fontId="166" fillId="0" borderId="0" xfId="3" applyNumberFormat="1" applyFont="1" applyBorder="1" applyAlignment="1" applyProtection="1">
      <alignment horizontal="center"/>
    </xf>
    <xf numFmtId="0" fontId="59" fillId="18" borderId="0" xfId="0" applyFont="1" applyFill="1" applyAlignment="1">
      <alignment horizontal="right"/>
    </xf>
    <xf numFmtId="181" fontId="59" fillId="18" borderId="30" xfId="0" applyNumberFormat="1" applyFont="1" applyFill="1" applyBorder="1" applyAlignment="1">
      <alignment horizontal="center"/>
    </xf>
    <xf numFmtId="0" fontId="45" fillId="0" borderId="30" xfId="0" applyFont="1" applyBorder="1"/>
    <xf numFmtId="0" fontId="45" fillId="6" borderId="30" xfId="0" applyFont="1" applyFill="1" applyBorder="1"/>
    <xf numFmtId="0" fontId="45" fillId="6" borderId="31" xfId="0" applyFont="1" applyFill="1" applyBorder="1"/>
    <xf numFmtId="0" fontId="27" fillId="6" borderId="0" xfId="0" applyFont="1" applyFill="1"/>
    <xf numFmtId="4" fontId="59" fillId="6" borderId="31" xfId="0" applyNumberFormat="1" applyFont="1" applyFill="1" applyBorder="1" applyAlignment="1">
      <alignment horizontal="left"/>
    </xf>
    <xf numFmtId="4" fontId="59" fillId="16" borderId="59" xfId="0" applyNumberFormat="1" applyFont="1" applyFill="1" applyBorder="1" applyAlignment="1">
      <alignment horizontal="left"/>
    </xf>
    <xf numFmtId="0" fontId="45" fillId="16" borderId="78" xfId="0" applyFont="1" applyFill="1" applyBorder="1" applyAlignment="1">
      <alignment horizontal="center"/>
    </xf>
    <xf numFmtId="0" fontId="59" fillId="16" borderId="59" xfId="0" applyFont="1" applyFill="1" applyBorder="1"/>
    <xf numFmtId="0" fontId="45" fillId="16" borderId="60" xfId="0" applyFont="1" applyFill="1" applyBorder="1"/>
    <xf numFmtId="0" fontId="26" fillId="16" borderId="70" xfId="0" applyFont="1" applyFill="1" applyBorder="1"/>
    <xf numFmtId="0" fontId="26" fillId="16" borderId="116" xfId="0" applyFont="1" applyFill="1" applyBorder="1"/>
    <xf numFmtId="0" fontId="26" fillId="16" borderId="65" xfId="0" applyFont="1" applyFill="1" applyBorder="1"/>
    <xf numFmtId="4" fontId="59" fillId="16" borderId="61" xfId="0" applyNumberFormat="1" applyFont="1" applyFill="1" applyBorder="1" applyAlignment="1">
      <alignment horizontal="left"/>
    </xf>
    <xf numFmtId="0" fontId="45" fillId="0" borderId="36" xfId="0" applyFont="1" applyBorder="1" applyAlignment="1">
      <alignment horizontal="center"/>
    </xf>
    <xf numFmtId="0" fontId="45" fillId="16" borderId="61" xfId="0" applyFont="1" applyFill="1" applyBorder="1"/>
    <xf numFmtId="0" fontId="45" fillId="16" borderId="63" xfId="0" applyFont="1" applyFill="1" applyBorder="1"/>
    <xf numFmtId="0" fontId="26" fillId="6" borderId="62" xfId="0" applyFont="1" applyFill="1" applyBorder="1" applyAlignment="1">
      <alignment wrapText="1"/>
    </xf>
    <xf numFmtId="0" fontId="26" fillId="6" borderId="108" xfId="0" applyFont="1" applyFill="1" applyBorder="1" applyAlignment="1">
      <alignment wrapText="1"/>
    </xf>
    <xf numFmtId="0" fontId="26" fillId="6" borderId="63" xfId="0" applyFont="1" applyFill="1" applyBorder="1" applyAlignment="1">
      <alignment wrapText="1"/>
    </xf>
    <xf numFmtId="4" fontId="45" fillId="29" borderId="32" xfId="0" applyNumberFormat="1" applyFont="1" applyFill="1" applyBorder="1" applyAlignment="1">
      <alignment horizontal="left"/>
    </xf>
    <xf numFmtId="0" fontId="23" fillId="7" borderId="1" xfId="0" applyFont="1" applyFill="1" applyBorder="1"/>
    <xf numFmtId="14" fontId="45" fillId="7" borderId="3" xfId="0" applyNumberFormat="1" applyFont="1" applyFill="1" applyBorder="1"/>
    <xf numFmtId="4" fontId="45" fillId="29" borderId="81" xfId="0" applyNumberFormat="1" applyFont="1" applyFill="1" applyBorder="1" applyAlignment="1">
      <alignment horizontal="left"/>
    </xf>
    <xf numFmtId="2" fontId="45" fillId="0" borderId="19" xfId="0" applyNumberFormat="1" applyFont="1" applyBorder="1" applyAlignment="1">
      <alignment horizontal="center"/>
    </xf>
    <xf numFmtId="0" fontId="24" fillId="6" borderId="12" xfId="0" applyFont="1" applyFill="1" applyBorder="1"/>
    <xf numFmtId="0" fontId="45" fillId="6" borderId="18" xfId="0" applyFont="1" applyFill="1" applyBorder="1"/>
    <xf numFmtId="165" fontId="45" fillId="6" borderId="18" xfId="0" applyNumberFormat="1" applyFont="1" applyFill="1" applyBorder="1"/>
    <xf numFmtId="165" fontId="45" fillId="6" borderId="13" xfId="0" applyNumberFormat="1" applyFont="1" applyFill="1" applyBorder="1"/>
    <xf numFmtId="4" fontId="59" fillId="22" borderId="15" xfId="0" applyNumberFormat="1" applyFont="1" applyFill="1" applyBorder="1" applyAlignment="1">
      <alignment horizontal="left" wrapText="1"/>
    </xf>
    <xf numFmtId="165" fontId="45" fillId="18" borderId="21" xfId="0" applyNumberFormat="1" applyFont="1" applyFill="1" applyBorder="1"/>
    <xf numFmtId="0" fontId="27" fillId="6" borderId="30" xfId="0" applyFont="1" applyFill="1" applyBorder="1"/>
    <xf numFmtId="0" fontId="45" fillId="6" borderId="0" xfId="0" applyFont="1" applyFill="1" applyAlignment="1">
      <alignment horizontal="center"/>
    </xf>
    <xf numFmtId="0" fontId="45" fillId="6" borderId="58" xfId="0" applyFont="1" applyFill="1" applyBorder="1" applyAlignment="1">
      <alignment horizontal="center"/>
    </xf>
    <xf numFmtId="4" fontId="65" fillId="29" borderId="32" xfId="0" applyNumberFormat="1" applyFont="1" applyFill="1" applyBorder="1" applyAlignment="1">
      <alignment horizontal="left" wrapText="1"/>
    </xf>
    <xf numFmtId="0" fontId="25" fillId="7" borderId="12" xfId="0" applyFont="1" applyFill="1" applyBorder="1"/>
    <xf numFmtId="0" fontId="45" fillId="7" borderId="13" xfId="0" applyFont="1" applyFill="1" applyBorder="1"/>
    <xf numFmtId="165" fontId="45" fillId="18" borderId="14" xfId="0" applyNumberFormat="1" applyFont="1" applyFill="1" applyBorder="1"/>
    <xf numFmtId="4" fontId="59" fillId="29" borderId="15" xfId="0" applyNumberFormat="1" applyFont="1" applyFill="1" applyBorder="1" applyAlignment="1">
      <alignment horizontal="left" wrapText="1"/>
    </xf>
    <xf numFmtId="0" fontId="59" fillId="31" borderId="15" xfId="0" applyFont="1" applyFill="1" applyBorder="1" applyAlignment="1">
      <alignment horizontal="left" wrapText="1"/>
    </xf>
    <xf numFmtId="0" fontId="127" fillId="24" borderId="32" xfId="0" applyFont="1" applyFill="1" applyBorder="1" applyAlignment="1">
      <alignment horizontal="left" wrapText="1"/>
    </xf>
    <xf numFmtId="0" fontId="147" fillId="6" borderId="30" xfId="0" applyFont="1" applyFill="1" applyBorder="1" applyAlignment="1">
      <alignment horizontal="right"/>
    </xf>
    <xf numFmtId="0" fontId="57" fillId="2" borderId="3" xfId="0" applyFont="1" applyFill="1" applyBorder="1" applyAlignment="1">
      <alignment wrapText="1"/>
    </xf>
    <xf numFmtId="0" fontId="65" fillId="2" borderId="6" xfId="0" applyFont="1" applyFill="1" applyBorder="1"/>
    <xf numFmtId="0" fontId="58" fillId="2" borderId="7" xfId="0" applyFont="1" applyFill="1" applyBorder="1"/>
    <xf numFmtId="0" fontId="60" fillId="2" borderId="7" xfId="0" applyFont="1" applyFill="1" applyBorder="1"/>
    <xf numFmtId="0" fontId="58" fillId="2" borderId="8" xfId="0" applyFont="1" applyFill="1" applyBorder="1"/>
    <xf numFmtId="14" fontId="76" fillId="0" borderId="0" xfId="0" applyNumberFormat="1" applyFont="1"/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2" fillId="30" borderId="0" xfId="0" applyFont="1" applyFill="1"/>
    <xf numFmtId="0" fontId="62" fillId="23" borderId="0" xfId="0" applyFont="1" applyFill="1"/>
    <xf numFmtId="0" fontId="128" fillId="23" borderId="0" xfId="0" applyFont="1" applyFill="1"/>
    <xf numFmtId="0" fontId="62" fillId="0" borderId="0" xfId="0" applyFont="1"/>
    <xf numFmtId="0" fontId="128" fillId="0" borderId="0" xfId="0" applyFont="1"/>
    <xf numFmtId="0" fontId="53" fillId="6" borderId="0" xfId="0" applyFont="1" applyFill="1" applyAlignment="1">
      <alignment horizontal="center"/>
    </xf>
    <xf numFmtId="0" fontId="64" fillId="30" borderId="0" xfId="0" applyFont="1" applyFill="1"/>
    <xf numFmtId="0" fontId="60" fillId="2" borderId="0" xfId="0" applyFont="1" applyFill="1"/>
    <xf numFmtId="0" fontId="66" fillId="0" borderId="0" xfId="0" applyFont="1" applyAlignment="1">
      <alignment vertical="top"/>
    </xf>
    <xf numFmtId="0" fontId="66" fillId="0" borderId="5" xfId="0" applyFont="1" applyBorder="1" applyAlignment="1">
      <alignment vertical="top"/>
    </xf>
    <xf numFmtId="0" fontId="66" fillId="2" borderId="0" xfId="0" applyFont="1" applyFill="1" applyAlignment="1">
      <alignment vertical="top"/>
    </xf>
    <xf numFmtId="0" fontId="60" fillId="0" borderId="0" xfId="0" applyFont="1"/>
    <xf numFmtId="0" fontId="124" fillId="30" borderId="0" xfId="0" applyFont="1" applyFill="1"/>
    <xf numFmtId="0" fontId="65" fillId="0" borderId="4" xfId="0" applyFont="1" applyBorder="1"/>
    <xf numFmtId="2" fontId="65" fillId="0" borderId="0" xfId="0" applyNumberFormat="1" applyFont="1" applyAlignment="1">
      <alignment horizontal="right"/>
    </xf>
    <xf numFmtId="2" fontId="65" fillId="0" borderId="0" xfId="0" applyNumberFormat="1" applyFont="1" applyAlignment="1">
      <alignment horizontal="center"/>
    </xf>
    <xf numFmtId="0" fontId="53" fillId="0" borderId="4" xfId="0" applyFont="1" applyBorder="1"/>
    <xf numFmtId="14" fontId="53" fillId="0" borderId="0" xfId="0" applyNumberFormat="1" applyFont="1" applyAlignment="1">
      <alignment horizontal="right"/>
    </xf>
    <xf numFmtId="14" fontId="53" fillId="0" borderId="0" xfId="0" applyNumberFormat="1" applyFont="1" applyAlignment="1">
      <alignment horizontal="center" vertical="top"/>
    </xf>
    <xf numFmtId="14" fontId="53" fillId="0" borderId="0" xfId="0" applyNumberFormat="1" applyFont="1" applyAlignment="1">
      <alignment horizontal="right" vertical="top"/>
    </xf>
    <xf numFmtId="0" fontId="53" fillId="0" borderId="5" xfId="0" applyFont="1" applyBorder="1"/>
    <xf numFmtId="14" fontId="53" fillId="6" borderId="0" xfId="0" applyNumberFormat="1" applyFont="1" applyFill="1" applyAlignment="1">
      <alignment horizontal="center" vertical="center"/>
    </xf>
    <xf numFmtId="14" fontId="53" fillId="6" borderId="0" xfId="0" applyNumberFormat="1" applyFont="1" applyFill="1" applyAlignment="1">
      <alignment horizontal="center" vertical="top"/>
    </xf>
    <xf numFmtId="14" fontId="53" fillId="6" borderId="0" xfId="0" applyNumberFormat="1" applyFont="1" applyFill="1" applyAlignment="1">
      <alignment horizontal="right" vertical="top"/>
    </xf>
    <xf numFmtId="14" fontId="65" fillId="6" borderId="0" xfId="0" applyNumberFormat="1" applyFont="1" applyFill="1" applyAlignment="1">
      <alignment horizontal="center" vertical="center"/>
    </xf>
    <xf numFmtId="0" fontId="166" fillId="30" borderId="0" xfId="0" applyFont="1" applyFill="1"/>
    <xf numFmtId="0" fontId="66" fillId="0" borderId="2" xfId="0" applyFont="1" applyBorder="1" applyAlignment="1">
      <alignment vertical="top"/>
    </xf>
    <xf numFmtId="0" fontId="66" fillId="0" borderId="2" xfId="0" applyFont="1" applyBorder="1" applyAlignment="1">
      <alignment horizontal="center" vertical="top"/>
    </xf>
    <xf numFmtId="0" fontId="59" fillId="0" borderId="2" xfId="0" applyFont="1" applyBorder="1"/>
    <xf numFmtId="0" fontId="53" fillId="0" borderId="16" xfId="0" applyFont="1" applyBorder="1"/>
    <xf numFmtId="0" fontId="53" fillId="0" borderId="17" xfId="0" applyFont="1" applyBorder="1"/>
    <xf numFmtId="2" fontId="53" fillId="0" borderId="17" xfId="0" applyNumberFormat="1" applyFont="1" applyBorder="1" applyAlignment="1">
      <alignment horizontal="right"/>
    </xf>
    <xf numFmtId="0" fontId="83" fillId="0" borderId="0" xfId="0" applyFont="1" applyAlignment="1">
      <alignment vertical="top" wrapText="1"/>
    </xf>
    <xf numFmtId="0" fontId="83" fillId="0" borderId="5" xfId="0" applyFont="1" applyBorder="1" applyAlignment="1">
      <alignment vertical="top" wrapText="1"/>
    </xf>
    <xf numFmtId="0" fontId="53" fillId="0" borderId="6" xfId="0" applyFont="1" applyBorder="1"/>
    <xf numFmtId="2" fontId="53" fillId="0" borderId="7" xfId="0" applyNumberFormat="1" applyFont="1" applyBorder="1" applyAlignment="1">
      <alignment horizontal="right"/>
    </xf>
    <xf numFmtId="0" fontId="83" fillId="0" borderId="7" xfId="0" applyFont="1" applyBorder="1" applyAlignment="1">
      <alignment vertical="top" wrapText="1"/>
    </xf>
    <xf numFmtId="2" fontId="53" fillId="0" borderId="0" xfId="0" applyNumberFormat="1" applyFont="1"/>
    <xf numFmtId="2" fontId="65" fillId="0" borderId="7" xfId="0" applyNumberFormat="1" applyFont="1" applyBorder="1"/>
    <xf numFmtId="0" fontId="53" fillId="0" borderId="7" xfId="0" applyFont="1" applyBorder="1" applyAlignment="1">
      <alignment horizontal="right"/>
    </xf>
    <xf numFmtId="0" fontId="64" fillId="6" borderId="7" xfId="0" applyFont="1" applyFill="1" applyBorder="1"/>
    <xf numFmtId="0" fontId="53" fillId="0" borderId="8" xfId="0" applyFont="1" applyBorder="1"/>
    <xf numFmtId="0" fontId="0" fillId="0" borderId="4" xfId="0" applyBorder="1" applyAlignment="1">
      <alignment vertical="center"/>
    </xf>
    <xf numFmtId="0" fontId="53" fillId="0" borderId="0" xfId="0" applyFont="1" applyAlignment="1">
      <alignment vertical="center"/>
    </xf>
    <xf numFmtId="0" fontId="0" fillId="0" borderId="0" xfId="0" applyAlignment="1">
      <alignment vertical="center"/>
    </xf>
    <xf numFmtId="0" fontId="64" fillId="30" borderId="0" xfId="0" applyFont="1" applyFill="1" applyAlignment="1">
      <alignment horizontal="center" vertical="center"/>
    </xf>
    <xf numFmtId="0" fontId="53" fillId="0" borderId="0" xfId="0" quotePrefix="1" applyFont="1" applyAlignment="1">
      <alignment horizontal="left"/>
    </xf>
    <xf numFmtId="0" fontId="0" fillId="0" borderId="5" xfId="0" applyBorder="1" applyAlignment="1">
      <alignment vertical="center"/>
    </xf>
    <xf numFmtId="0" fontId="59" fillId="2" borderId="0" xfId="0" applyFont="1" applyFill="1" applyAlignment="1">
      <alignment vertical="center"/>
    </xf>
    <xf numFmtId="2" fontId="65" fillId="0" borderId="0" xfId="0" applyNumberFormat="1" applyFont="1"/>
    <xf numFmtId="0" fontId="34" fillId="0" borderId="0" xfId="0" applyFont="1" applyAlignment="1">
      <alignment vertical="center"/>
    </xf>
    <xf numFmtId="0" fontId="53" fillId="0" borderId="0" xfId="0" applyFont="1" applyAlignment="1">
      <alignment horizontal="left"/>
    </xf>
    <xf numFmtId="0" fontId="52" fillId="0" borderId="0" xfId="0" applyFont="1" applyAlignment="1">
      <alignment vertical="center"/>
    </xf>
    <xf numFmtId="0" fontId="122" fillId="0" borderId="8" xfId="0" applyFont="1" applyBorder="1" applyAlignment="1">
      <alignment horizontal="right"/>
    </xf>
    <xf numFmtId="0" fontId="17" fillId="30" borderId="14" xfId="0" applyFont="1" applyFill="1" applyBorder="1" applyAlignment="1">
      <alignment wrapText="1"/>
    </xf>
    <xf numFmtId="0" fontId="45" fillId="30" borderId="14" xfId="0" applyFont="1" applyFill="1" applyBorder="1"/>
    <xf numFmtId="164" fontId="45" fillId="30" borderId="14" xfId="0" applyNumberFormat="1" applyFont="1" applyFill="1" applyBorder="1"/>
    <xf numFmtId="182" fontId="45" fillId="30" borderId="14" xfId="0" applyNumberFormat="1" applyFont="1" applyFill="1" applyBorder="1"/>
    <xf numFmtId="183" fontId="45" fillId="30" borderId="14" xfId="0" applyNumberFormat="1" applyFont="1" applyFill="1" applyBorder="1"/>
    <xf numFmtId="184" fontId="45" fillId="30" borderId="14" xfId="0" applyNumberFormat="1" applyFont="1" applyFill="1" applyBorder="1"/>
    <xf numFmtId="165" fontId="64" fillId="0" borderId="114" xfId="3" applyNumberFormat="1" applyFont="1" applyBorder="1" applyAlignment="1">
      <alignment horizontal="center"/>
    </xf>
    <xf numFmtId="14" fontId="0" fillId="0" borderId="14" xfId="0" applyNumberFormat="1" applyBorder="1"/>
    <xf numFmtId="44" fontId="0" fillId="0" borderId="0" xfId="2" applyFont="1" applyBorder="1"/>
    <xf numFmtId="0" fontId="59" fillId="0" borderId="12" xfId="0" applyFont="1" applyBorder="1" applyAlignment="1">
      <alignment horizontal="left"/>
    </xf>
    <xf numFmtId="0" fontId="59" fillId="0" borderId="13" xfId="0" applyFont="1" applyBorder="1" applyAlignment="1">
      <alignment horizontal="left"/>
    </xf>
    <xf numFmtId="10" fontId="55" fillId="8" borderId="0" xfId="0" applyNumberFormat="1" applyFont="1" applyFill="1"/>
    <xf numFmtId="44" fontId="55" fillId="8" borderId="0" xfId="2" applyFont="1" applyFill="1"/>
    <xf numFmtId="44" fontId="64" fillId="8" borderId="14" xfId="2" applyFont="1" applyFill="1" applyBorder="1" applyAlignment="1">
      <alignment horizontal="center" wrapText="1"/>
    </xf>
    <xf numFmtId="10" fontId="64" fillId="8" borderId="14" xfId="3" applyNumberFormat="1" applyFont="1" applyFill="1" applyBorder="1" applyAlignment="1">
      <alignment horizontal="center" wrapText="1"/>
    </xf>
    <xf numFmtId="10" fontId="64" fillId="8" borderId="14" xfId="3" applyNumberFormat="1" applyFont="1" applyFill="1" applyBorder="1" applyAlignment="1">
      <alignment horizontal="center"/>
    </xf>
    <xf numFmtId="44" fontId="0" fillId="16" borderId="0" xfId="0" applyNumberFormat="1" applyFill="1"/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3" xfId="0" applyBorder="1"/>
    <xf numFmtId="0" fontId="0" fillId="16" borderId="4" xfId="0" applyFill="1" applyBorder="1"/>
    <xf numFmtId="0" fontId="144" fillId="16" borderId="24" xfId="0" applyFont="1" applyFill="1" applyBorder="1"/>
    <xf numFmtId="0" fontId="0" fillId="0" borderId="134" xfId="0" applyBorder="1"/>
    <xf numFmtId="0" fontId="0" fillId="16" borderId="19" xfId="0" applyFill="1" applyBorder="1"/>
    <xf numFmtId="0" fontId="0" fillId="16" borderId="18" xfId="0" applyFill="1" applyBorder="1"/>
    <xf numFmtId="0" fontId="0" fillId="16" borderId="24" xfId="0" applyFill="1" applyBorder="1"/>
    <xf numFmtId="0" fontId="145" fillId="16" borderId="9" xfId="0" applyFont="1" applyFill="1" applyBorder="1"/>
    <xf numFmtId="0" fontId="145" fillId="16" borderId="10" xfId="0" applyFont="1" applyFill="1" applyBorder="1"/>
    <xf numFmtId="0" fontId="145" fillId="16" borderId="11" xfId="0" applyFont="1" applyFill="1" applyBorder="1"/>
    <xf numFmtId="0" fontId="59" fillId="18" borderId="9" xfId="0" applyFont="1" applyFill="1" applyBorder="1"/>
    <xf numFmtId="0" fontId="59" fillId="18" borderId="10" xfId="0" applyFont="1" applyFill="1" applyBorder="1"/>
    <xf numFmtId="0" fontId="59" fillId="18" borderId="11" xfId="0" applyFont="1" applyFill="1" applyBorder="1"/>
    <xf numFmtId="0" fontId="16" fillId="30" borderId="0" xfId="0" applyFont="1" applyFill="1"/>
    <xf numFmtId="0" fontId="25" fillId="6" borderId="0" xfId="0" applyFont="1" applyFill="1"/>
    <xf numFmtId="0" fontId="59" fillId="6" borderId="10" xfId="0" applyFont="1" applyFill="1" applyBorder="1" applyAlignment="1">
      <alignment horizontal="left" wrapText="1"/>
    </xf>
    <xf numFmtId="0" fontId="16" fillId="0" borderId="14" xfId="0" applyFont="1" applyBorder="1"/>
    <xf numFmtId="0" fontId="56" fillId="23" borderId="70" xfId="0" applyFont="1" applyFill="1" applyBorder="1"/>
    <xf numFmtId="0" fontId="0" fillId="23" borderId="64" xfId="0" applyFill="1" applyBorder="1"/>
    <xf numFmtId="0" fontId="0" fillId="23" borderId="65" xfId="0" applyFill="1" applyBorder="1"/>
    <xf numFmtId="0" fontId="59" fillId="23" borderId="0" xfId="0" applyFont="1" applyFill="1" applyAlignment="1">
      <alignment horizontal="center"/>
    </xf>
    <xf numFmtId="0" fontId="0" fillId="23" borderId="59" xfId="0" applyFill="1" applyBorder="1"/>
    <xf numFmtId="44" fontId="59" fillId="23" borderId="34" xfId="2" applyFont="1" applyFill="1" applyBorder="1" applyAlignment="1" applyProtection="1">
      <alignment horizontal="center"/>
    </xf>
    <xf numFmtId="44" fontId="59" fillId="23" borderId="35" xfId="2" applyFont="1" applyFill="1" applyBorder="1" applyAlignment="1" applyProtection="1">
      <alignment horizontal="center"/>
    </xf>
    <xf numFmtId="44" fontId="59" fillId="23" borderId="36" xfId="2" applyFont="1" applyFill="1" applyBorder="1" applyAlignment="1" applyProtection="1">
      <alignment horizontal="center"/>
    </xf>
    <xf numFmtId="0" fontId="16" fillId="23" borderId="14" xfId="0" applyFont="1" applyFill="1" applyBorder="1"/>
    <xf numFmtId="0" fontId="0" fillId="23" borderId="0" xfId="0" applyFill="1"/>
    <xf numFmtId="0" fontId="59" fillId="19" borderId="5" xfId="0" applyFont="1" applyFill="1" applyBorder="1" applyAlignment="1">
      <alignment wrapText="1"/>
    </xf>
    <xf numFmtId="0" fontId="56" fillId="19" borderId="22" xfId="0" applyFont="1" applyFill="1" applyBorder="1" applyAlignment="1" applyProtection="1">
      <alignment horizontal="left" vertical="center" wrapText="1"/>
      <protection locked="0"/>
    </xf>
    <xf numFmtId="10" fontId="56" fillId="17" borderId="106" xfId="3" applyNumberFormat="1" applyFont="1" applyFill="1" applyBorder="1" applyAlignment="1" applyProtection="1">
      <alignment horizontal="center" vertical="center"/>
      <protection locked="0"/>
    </xf>
    <xf numFmtId="4" fontId="15" fillId="0" borderId="21" xfId="0" applyNumberFormat="1" applyFont="1" applyBorder="1" applyAlignment="1">
      <alignment horizontal="center"/>
    </xf>
    <xf numFmtId="0" fontId="144" fillId="6" borderId="74" xfId="0" applyFont="1" applyFill="1" applyBorder="1"/>
    <xf numFmtId="0" fontId="144" fillId="6" borderId="76" xfId="0" applyFont="1" applyFill="1" applyBorder="1"/>
    <xf numFmtId="0" fontId="67" fillId="6" borderId="0" xfId="1" applyFill="1" applyAlignment="1" applyProtection="1"/>
    <xf numFmtId="0" fontId="13" fillId="6" borderId="4" xfId="0" applyFont="1" applyFill="1" applyBorder="1"/>
    <xf numFmtId="0" fontId="13" fillId="6" borderId="6" xfId="0" applyFont="1" applyFill="1" applyBorder="1"/>
    <xf numFmtId="0" fontId="68" fillId="6" borderId="4" xfId="0" applyFont="1" applyFill="1" applyBorder="1"/>
    <xf numFmtId="4" fontId="9" fillId="29" borderId="81" xfId="0" applyNumberFormat="1" applyFont="1" applyFill="1" applyBorder="1" applyAlignment="1">
      <alignment horizontal="left"/>
    </xf>
    <xf numFmtId="165" fontId="45" fillId="0" borderId="14" xfId="0" applyNumberFormat="1" applyFont="1" applyBorder="1" applyAlignment="1">
      <alignment horizontal="center"/>
    </xf>
    <xf numFmtId="164" fontId="59" fillId="22" borderId="9" xfId="2" applyNumberFormat="1" applyFont="1" applyFill="1" applyBorder="1" applyAlignment="1" applyProtection="1">
      <alignment horizontal="center"/>
    </xf>
    <xf numFmtId="184" fontId="127" fillId="24" borderId="14" xfId="2" applyNumberFormat="1" applyFont="1" applyFill="1" applyBorder="1" applyAlignment="1" applyProtection="1">
      <alignment horizontal="center"/>
    </xf>
    <xf numFmtId="10" fontId="55" fillId="17" borderId="14" xfId="3" applyNumberFormat="1" applyFont="1" applyFill="1" applyBorder="1"/>
    <xf numFmtId="10" fontId="54" fillId="17" borderId="14" xfId="3" applyNumberFormat="1" applyFont="1" applyFill="1" applyBorder="1"/>
    <xf numFmtId="0" fontId="144" fillId="6" borderId="0" xfId="0" applyFont="1" applyFill="1"/>
    <xf numFmtId="0" fontId="83" fillId="6" borderId="0" xfId="0" applyFont="1" applyFill="1" applyAlignment="1">
      <alignment wrapText="1"/>
    </xf>
    <xf numFmtId="0" fontId="0" fillId="0" borderId="5" xfId="0" applyBorder="1" applyAlignment="1">
      <alignment horizontal="center"/>
    </xf>
    <xf numFmtId="0" fontId="18" fillId="0" borderId="5" xfId="0" applyFont="1" applyBorder="1" applyAlignment="1">
      <alignment horizontal="center"/>
    </xf>
    <xf numFmtId="14" fontId="18" fillId="0" borderId="5" xfId="0" applyNumberFormat="1" applyFont="1" applyBorder="1" applyAlignment="1">
      <alignment horizontal="center"/>
    </xf>
    <xf numFmtId="0" fontId="18" fillId="0" borderId="5" xfId="0" applyFont="1" applyBorder="1"/>
    <xf numFmtId="0" fontId="16" fillId="0" borderId="5" xfId="0" applyFont="1" applyBorder="1"/>
    <xf numFmtId="0" fontId="15" fillId="0" borderId="5" xfId="0" applyFont="1" applyBorder="1"/>
    <xf numFmtId="0" fontId="14" fillId="0" borderId="5" xfId="0" applyFont="1" applyBorder="1"/>
    <xf numFmtId="0" fontId="13" fillId="0" borderId="5" xfId="0" applyFont="1" applyBorder="1"/>
    <xf numFmtId="0" fontId="12" fillId="0" borderId="5" xfId="0" applyFont="1" applyBorder="1"/>
    <xf numFmtId="0" fontId="10" fillId="0" borderId="5" xfId="0" applyFont="1" applyBorder="1"/>
    <xf numFmtId="0" fontId="9" fillId="0" borderId="5" xfId="0" applyFont="1" applyBorder="1"/>
    <xf numFmtId="0" fontId="7" fillId="0" borderId="5" xfId="0" applyFont="1" applyBorder="1"/>
    <xf numFmtId="0" fontId="6" fillId="0" borderId="5" xfId="0" applyFont="1" applyBorder="1"/>
    <xf numFmtId="0" fontId="5" fillId="0" borderId="5" xfId="0" applyFont="1" applyBorder="1"/>
    <xf numFmtId="0" fontId="18" fillId="0" borderId="20" xfId="0" applyFont="1" applyBorder="1" applyAlignment="1">
      <alignment vertical="top"/>
    </xf>
    <xf numFmtId="0" fontId="18" fillId="0" borderId="19" xfId="0" applyFont="1" applyBorder="1"/>
    <xf numFmtId="0" fontId="17" fillId="0" borderId="19" xfId="0" applyFont="1" applyBorder="1"/>
    <xf numFmtId="0" fontId="16" fillId="0" borderId="19" xfId="0" applyFont="1" applyBorder="1"/>
    <xf numFmtId="0" fontId="19" fillId="0" borderId="20" xfId="0" applyFont="1" applyBorder="1" applyAlignment="1">
      <alignment horizontal="left" vertical="top" wrapText="1"/>
    </xf>
    <xf numFmtId="0" fontId="64" fillId="0" borderId="19" xfId="0" applyFont="1" applyBorder="1"/>
    <xf numFmtId="0" fontId="15" fillId="0" borderId="19" xfId="0" applyFont="1" applyBorder="1"/>
    <xf numFmtId="0" fontId="13" fillId="0" borderId="19" xfId="0" applyFont="1" applyBorder="1"/>
    <xf numFmtId="0" fontId="12" fillId="0" borderId="19" xfId="0" applyFont="1" applyBorder="1"/>
    <xf numFmtId="0" fontId="10" fillId="0" borderId="19" xfId="0" applyFont="1" applyBorder="1"/>
    <xf numFmtId="0" fontId="9" fillId="0" borderId="19" xfId="0" applyFont="1" applyBorder="1"/>
    <xf numFmtId="0" fontId="8" fillId="0" borderId="19" xfId="0" applyFont="1" applyBorder="1"/>
    <xf numFmtId="0" fontId="7" fillId="0" borderId="19" xfId="0" applyFont="1" applyBorder="1"/>
    <xf numFmtId="0" fontId="6" fillId="0" borderId="19" xfId="0" applyFont="1" applyBorder="1"/>
    <xf numFmtId="0" fontId="5" fillId="0" borderId="19" xfId="0" applyFont="1" applyBorder="1"/>
    <xf numFmtId="0" fontId="28" fillId="37" borderId="135" xfId="0" applyFont="1" applyFill="1" applyBorder="1" applyAlignment="1">
      <alignment horizontal="left" wrapText="1"/>
    </xf>
    <xf numFmtId="0" fontId="28" fillId="37" borderId="136" xfId="0" applyFont="1" applyFill="1" applyBorder="1" applyAlignment="1">
      <alignment horizontal="left"/>
    </xf>
    <xf numFmtId="0" fontId="28" fillId="37" borderId="137" xfId="0" applyFont="1" applyFill="1" applyBorder="1" applyAlignment="1">
      <alignment horizontal="left"/>
    </xf>
    <xf numFmtId="0" fontId="21" fillId="0" borderId="13" xfId="0" applyFont="1" applyBorder="1" applyAlignment="1">
      <alignment horizontal="left" vertical="top"/>
    </xf>
    <xf numFmtId="0" fontId="21" fillId="0" borderId="138" xfId="0" applyFont="1" applyBorder="1" applyAlignment="1">
      <alignment horizontal="left" vertical="top"/>
    </xf>
    <xf numFmtId="0" fontId="21" fillId="0" borderId="139" xfId="0" applyFont="1" applyBorder="1" applyAlignment="1">
      <alignment horizontal="left" vertical="top"/>
    </xf>
    <xf numFmtId="0" fontId="21" fillId="0" borderId="140" xfId="0" applyFont="1" applyBorder="1" applyAlignment="1">
      <alignment horizontal="left" vertical="top"/>
    </xf>
    <xf numFmtId="0" fontId="65" fillId="0" borderId="140" xfId="0" applyFont="1" applyBorder="1" applyAlignment="1">
      <alignment horizontal="left" vertical="top"/>
    </xf>
    <xf numFmtId="0" fontId="65" fillId="0" borderId="140" xfId="0" applyFont="1" applyBorder="1" applyAlignment="1">
      <alignment horizontal="left" vertical="top" wrapText="1"/>
    </xf>
    <xf numFmtId="0" fontId="65" fillId="0" borderId="140" xfId="0" applyFont="1" applyBorder="1" applyAlignment="1">
      <alignment vertical="top"/>
    </xf>
    <xf numFmtId="0" fontId="65" fillId="0" borderId="139" xfId="0" applyFont="1" applyBorder="1" applyAlignment="1">
      <alignment vertical="top"/>
    </xf>
    <xf numFmtId="0" fontId="21" fillId="0" borderId="13" xfId="0" applyFont="1" applyBorder="1" applyAlignment="1">
      <alignment vertical="top"/>
    </xf>
    <xf numFmtId="0" fontId="21" fillId="0" borderId="138" xfId="0" applyFont="1" applyBorder="1" applyAlignment="1">
      <alignment vertical="top"/>
    </xf>
    <xf numFmtId="0" fontId="21" fillId="0" borderId="140" xfId="0" applyFont="1" applyBorder="1" applyAlignment="1">
      <alignment vertical="top"/>
    </xf>
    <xf numFmtId="0" fontId="21" fillId="0" borderId="139" xfId="0" applyFont="1" applyBorder="1" applyAlignment="1">
      <alignment vertical="top"/>
    </xf>
    <xf numFmtId="0" fontId="21" fillId="0" borderId="13" xfId="0" applyFont="1" applyBorder="1" applyAlignment="1">
      <alignment vertical="top" wrapText="1"/>
    </xf>
    <xf numFmtId="0" fontId="21" fillId="0" borderId="138" xfId="0" applyFont="1" applyBorder="1" applyAlignment="1">
      <alignment vertical="top" wrapText="1"/>
    </xf>
    <xf numFmtId="0" fontId="21" fillId="0" borderId="139" xfId="0" applyFont="1" applyBorder="1" applyAlignment="1">
      <alignment vertical="top" wrapText="1"/>
    </xf>
    <xf numFmtId="0" fontId="21" fillId="0" borderId="140" xfId="0" applyFont="1" applyBorder="1" applyAlignment="1">
      <alignment vertical="top" wrapText="1"/>
    </xf>
    <xf numFmtId="0" fontId="21" fillId="0" borderId="141" xfId="0" applyFont="1" applyBorder="1" applyAlignment="1">
      <alignment vertical="top" wrapText="1"/>
    </xf>
    <xf numFmtId="0" fontId="21" fillId="0" borderId="142" xfId="0" applyFont="1" applyBorder="1" applyAlignment="1">
      <alignment vertical="top" wrapText="1"/>
    </xf>
    <xf numFmtId="0" fontId="21" fillId="0" borderId="143" xfId="0" applyFont="1" applyBorder="1" applyAlignment="1">
      <alignment vertical="top" wrapText="1"/>
    </xf>
    <xf numFmtId="14" fontId="18" fillId="0" borderId="19" xfId="0" applyNumberFormat="1" applyFont="1" applyBorder="1"/>
    <xf numFmtId="14" fontId="16" fillId="0" borderId="19" xfId="0" applyNumberFormat="1" applyFont="1" applyBorder="1"/>
    <xf numFmtId="0" fontId="18" fillId="0" borderId="19" xfId="0" applyFont="1" applyBorder="1" applyAlignment="1">
      <alignment horizontal="left"/>
    </xf>
    <xf numFmtId="44" fontId="16" fillId="0" borderId="19" xfId="2" applyFont="1" applyBorder="1" applyAlignment="1"/>
    <xf numFmtId="4" fontId="9" fillId="29" borderId="20" xfId="0" applyNumberFormat="1" applyFont="1" applyFill="1" applyBorder="1" applyAlignment="1">
      <alignment horizontal="left"/>
    </xf>
    <xf numFmtId="0" fontId="64" fillId="0" borderId="5" xfId="0" applyFont="1" applyBorder="1"/>
    <xf numFmtId="14" fontId="3" fillId="0" borderId="3" xfId="0" applyNumberFormat="1" applyFont="1" applyBorder="1" applyAlignment="1">
      <alignment horizontal="center"/>
    </xf>
    <xf numFmtId="0" fontId="18" fillId="0" borderId="20" xfId="0" applyFont="1" applyBorder="1"/>
    <xf numFmtId="0" fontId="18" fillId="0" borderId="3" xfId="0" applyFont="1" applyBorder="1"/>
    <xf numFmtId="14" fontId="18" fillId="0" borderId="3" xfId="0" applyNumberFormat="1" applyFont="1" applyBorder="1" applyAlignment="1">
      <alignment horizontal="center"/>
    </xf>
    <xf numFmtId="0" fontId="17" fillId="0" borderId="20" xfId="0" applyFont="1" applyBorder="1"/>
    <xf numFmtId="0" fontId="16" fillId="0" borderId="20" xfId="0" applyFont="1" applyBorder="1"/>
    <xf numFmtId="0" fontId="15" fillId="0" borderId="3" xfId="0" applyFont="1" applyBorder="1"/>
    <xf numFmtId="0" fontId="15" fillId="0" borderId="20" xfId="0" applyFont="1" applyBorder="1"/>
    <xf numFmtId="0" fontId="13" fillId="0" borderId="3" xfId="0" applyFont="1" applyBorder="1"/>
    <xf numFmtId="0" fontId="13" fillId="0" borderId="20" xfId="0" applyFont="1" applyBorder="1"/>
    <xf numFmtId="0" fontId="11" fillId="0" borderId="3" xfId="0" applyFont="1" applyBorder="1"/>
    <xf numFmtId="0" fontId="11" fillId="0" borderId="20" xfId="0" applyFont="1" applyBorder="1"/>
    <xf numFmtId="0" fontId="9" fillId="0" borderId="3" xfId="0" applyFont="1" applyBorder="1"/>
    <xf numFmtId="0" fontId="9" fillId="0" borderId="20" xfId="0" applyFont="1" applyBorder="1"/>
    <xf numFmtId="0" fontId="8" fillId="0" borderId="3" xfId="0" applyFont="1" applyBorder="1"/>
    <xf numFmtId="0" fontId="8" fillId="0" borderId="20" xfId="0" applyFont="1" applyBorder="1"/>
    <xf numFmtId="0" fontId="18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21" xfId="0" applyFont="1" applyBorder="1"/>
    <xf numFmtId="0" fontId="18" fillId="0" borderId="8" xfId="0" applyFont="1" applyBorder="1"/>
    <xf numFmtId="10" fontId="75" fillId="17" borderId="14" xfId="3" applyNumberFormat="1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/>
    </xf>
    <xf numFmtId="14" fontId="3" fillId="0" borderId="21" xfId="0" applyNumberFormat="1" applyFont="1" applyBorder="1" applyAlignment="1">
      <alignment horizontal="center"/>
    </xf>
    <xf numFmtId="0" fontId="21" fillId="0" borderId="20" xfId="0" applyFont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14" fontId="21" fillId="0" borderId="20" xfId="0" applyNumberFormat="1" applyFont="1" applyBorder="1" applyAlignment="1">
      <alignment horizontal="center" vertical="top"/>
    </xf>
    <xf numFmtId="14" fontId="21" fillId="0" borderId="19" xfId="0" applyNumberFormat="1" applyFont="1" applyBorder="1" applyAlignment="1">
      <alignment horizontal="center" vertical="top"/>
    </xf>
    <xf numFmtId="14" fontId="21" fillId="0" borderId="21" xfId="0" applyNumberFormat="1" applyFont="1" applyBorder="1" applyAlignment="1">
      <alignment horizontal="center" vertical="top"/>
    </xf>
    <xf numFmtId="0" fontId="159" fillId="35" borderId="0" xfId="18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3" fillId="0" borderId="120" xfId="0" applyFont="1" applyBorder="1" applyAlignment="1">
      <alignment horizontal="left" vertical="top" wrapText="1"/>
    </xf>
    <xf numFmtId="0" fontId="28" fillId="17" borderId="122" xfId="0" applyFont="1" applyFill="1" applyBorder="1" applyAlignment="1">
      <alignment horizontal="left" vertical="top" wrapText="1"/>
    </xf>
    <xf numFmtId="0" fontId="28" fillId="17" borderId="124" xfId="0" applyFont="1" applyFill="1" applyBorder="1" applyAlignment="1">
      <alignment horizontal="left" vertical="top" wrapText="1"/>
    </xf>
    <xf numFmtId="0" fontId="28" fillId="17" borderId="125" xfId="0" applyFont="1" applyFill="1" applyBorder="1" applyAlignment="1">
      <alignment horizontal="left" vertical="top"/>
    </xf>
    <xf numFmtId="0" fontId="28" fillId="17" borderId="126" xfId="0" applyFont="1" applyFill="1" applyBorder="1" applyAlignment="1">
      <alignment horizontal="left" vertical="top"/>
    </xf>
    <xf numFmtId="14" fontId="31" fillId="17" borderId="2" xfId="0" applyNumberFormat="1" applyFont="1" applyFill="1" applyBorder="1" applyAlignment="1">
      <alignment horizontal="center" vertical="top"/>
    </xf>
    <xf numFmtId="14" fontId="31" fillId="17" borderId="0" xfId="0" applyNumberFormat="1" applyFont="1" applyFill="1" applyAlignment="1">
      <alignment horizontal="center" vertical="top"/>
    </xf>
    <xf numFmtId="0" fontId="28" fillId="17" borderId="123" xfId="0" applyFont="1" applyFill="1" applyBorder="1" applyAlignment="1">
      <alignment horizontal="left" vertical="top" wrapText="1"/>
    </xf>
    <xf numFmtId="0" fontId="28" fillId="17" borderId="125" xfId="0" applyFont="1" applyFill="1" applyBorder="1" applyAlignment="1">
      <alignment horizontal="left" vertical="top" wrapText="1"/>
    </xf>
    <xf numFmtId="0" fontId="28" fillId="17" borderId="127" xfId="0" applyFont="1" applyFill="1" applyBorder="1" applyAlignment="1">
      <alignment horizontal="left"/>
    </xf>
    <xf numFmtId="0" fontId="28" fillId="37" borderId="125" xfId="0" applyFont="1" applyFill="1" applyBorder="1" applyAlignment="1">
      <alignment horizontal="left" vertical="center" wrapText="1"/>
    </xf>
    <xf numFmtId="0" fontId="28" fillId="17" borderId="127" xfId="0" applyFont="1" applyFill="1" applyBorder="1" applyAlignment="1">
      <alignment horizontal="left" vertical="top"/>
    </xf>
    <xf numFmtId="0" fontId="28" fillId="17" borderId="2" xfId="0" applyFont="1" applyFill="1" applyBorder="1" applyAlignment="1">
      <alignment horizontal="left" vertical="top" wrapText="1"/>
    </xf>
    <xf numFmtId="0" fontId="28" fillId="17" borderId="0" xfId="0" applyFont="1" applyFill="1" applyAlignment="1">
      <alignment horizontal="left" vertical="top" wrapText="1"/>
    </xf>
    <xf numFmtId="0" fontId="28" fillId="37" borderId="136" xfId="0" applyFont="1" applyFill="1" applyBorder="1" applyAlignment="1">
      <alignment horizontal="left" vertical="top" wrapText="1"/>
    </xf>
    <xf numFmtId="0" fontId="28" fillId="17" borderId="125" xfId="0" applyFont="1" applyFill="1" applyBorder="1" applyAlignment="1">
      <alignment horizontal="left" wrapText="1"/>
    </xf>
    <xf numFmtId="0" fontId="21" fillId="0" borderId="14" xfId="0" applyFont="1" applyBorder="1" applyAlignment="1">
      <alignment horizontal="left" vertical="top"/>
    </xf>
    <xf numFmtId="14" fontId="21" fillId="0" borderId="14" xfId="0" applyNumberFormat="1" applyFont="1" applyBorder="1" applyAlignment="1">
      <alignment horizontal="left" vertical="top"/>
    </xf>
    <xf numFmtId="0" fontId="28" fillId="17" borderId="136" xfId="0" applyFont="1" applyFill="1" applyBorder="1" applyAlignment="1">
      <alignment horizontal="left" vertical="top" wrapText="1"/>
    </xf>
    <xf numFmtId="0" fontId="28" fillId="17" borderId="137" xfId="0" applyFont="1" applyFill="1" applyBorder="1" applyAlignment="1">
      <alignment horizontal="left" vertical="top" wrapText="1"/>
    </xf>
    <xf numFmtId="14" fontId="30" fillId="37" borderId="14" xfId="0" applyNumberFormat="1" applyFont="1" applyFill="1" applyBorder="1" applyAlignment="1">
      <alignment horizontal="center" vertical="top" wrapText="1"/>
    </xf>
    <xf numFmtId="14" fontId="28" fillId="17" borderId="14" xfId="0" applyNumberFormat="1" applyFont="1" applyFill="1" applyBorder="1" applyAlignment="1">
      <alignment horizontal="center" vertical="top"/>
    </xf>
    <xf numFmtId="0" fontId="28" fillId="17" borderId="123" xfId="0" applyFont="1" applyFill="1" applyBorder="1" applyAlignment="1">
      <alignment horizontal="left" vertical="top"/>
    </xf>
    <xf numFmtId="0" fontId="28" fillId="17" borderId="135" xfId="0" applyFont="1" applyFill="1" applyBorder="1" applyAlignment="1">
      <alignment horizontal="left" vertical="top" wrapText="1"/>
    </xf>
    <xf numFmtId="0" fontId="28" fillId="37" borderId="126" xfId="0" applyFont="1" applyFill="1" applyBorder="1" applyAlignment="1">
      <alignment horizontal="left" vertical="center" wrapText="1"/>
    </xf>
    <xf numFmtId="0" fontId="28" fillId="37" borderId="125" xfId="0" applyFont="1" applyFill="1" applyBorder="1" applyAlignment="1">
      <alignment horizontal="left"/>
    </xf>
    <xf numFmtId="0" fontId="28" fillId="37" borderId="126" xfId="0" applyFont="1" applyFill="1" applyBorder="1" applyAlignment="1">
      <alignment horizontal="left"/>
    </xf>
    <xf numFmtId="0" fontId="21" fillId="0" borderId="20" xfId="0" applyFont="1" applyBorder="1" applyAlignment="1">
      <alignment horizontal="left" vertical="top"/>
    </xf>
    <xf numFmtId="0" fontId="21" fillId="0" borderId="21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14" fontId="21" fillId="0" borderId="20" xfId="0" applyNumberFormat="1" applyFont="1" applyBorder="1" applyAlignment="1">
      <alignment horizontal="left" vertical="top" wrapText="1"/>
    </xf>
    <xf numFmtId="14" fontId="21" fillId="0" borderId="19" xfId="0" applyNumberFormat="1" applyFont="1" applyBorder="1" applyAlignment="1">
      <alignment horizontal="left" vertical="top" wrapText="1"/>
    </xf>
    <xf numFmtId="14" fontId="21" fillId="0" borderId="21" xfId="0" applyNumberFormat="1" applyFont="1" applyBorder="1" applyAlignment="1">
      <alignment horizontal="left" vertical="top" wrapText="1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41" borderId="129" xfId="0" applyFill="1" applyBorder="1" applyAlignment="1">
      <alignment horizontal="center"/>
    </xf>
    <xf numFmtId="0" fontId="0" fillId="41" borderId="130" xfId="0" applyFill="1" applyBorder="1" applyAlignment="1">
      <alignment horizontal="center"/>
    </xf>
    <xf numFmtId="0" fontId="0" fillId="41" borderId="131" xfId="0" applyFill="1" applyBorder="1" applyAlignment="1">
      <alignment horizontal="center"/>
    </xf>
    <xf numFmtId="0" fontId="125" fillId="6" borderId="43" xfId="0" applyFont="1" applyFill="1" applyBorder="1" applyAlignment="1">
      <alignment horizontal="center"/>
    </xf>
    <xf numFmtId="0" fontId="125" fillId="6" borderId="79" xfId="0" applyFont="1" applyFill="1" applyBorder="1" applyAlignment="1">
      <alignment horizontal="center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55" fillId="7" borderId="62" xfId="0" applyFont="1" applyFill="1" applyBorder="1" applyAlignment="1">
      <alignment horizontal="left" vertical="top" wrapText="1"/>
    </xf>
    <xf numFmtId="10" fontId="60" fillId="8" borderId="0" xfId="0" applyNumberFormat="1" applyFont="1" applyFill="1" applyAlignment="1" applyProtection="1">
      <alignment horizontal="center"/>
      <protection hidden="1"/>
    </xf>
    <xf numFmtId="2" fontId="70" fillId="8" borderId="72" xfId="0" applyNumberFormat="1" applyFont="1" applyFill="1" applyBorder="1" applyAlignment="1" applyProtection="1">
      <alignment horizontal="center" vertical="center"/>
      <protection hidden="1"/>
    </xf>
    <xf numFmtId="2" fontId="70" fillId="8" borderId="73" xfId="0" applyNumberFormat="1" applyFont="1" applyFill="1" applyBorder="1" applyAlignment="1" applyProtection="1">
      <alignment horizontal="center" vertical="center"/>
      <protection hidden="1"/>
    </xf>
    <xf numFmtId="2" fontId="80" fillId="8" borderId="49" xfId="0" applyNumberFormat="1" applyFont="1" applyFill="1" applyBorder="1" applyAlignment="1" applyProtection="1">
      <alignment horizontal="center" vertical="center"/>
      <protection hidden="1"/>
    </xf>
    <xf numFmtId="2" fontId="80" fillId="8" borderId="51" xfId="0" applyNumberFormat="1" applyFont="1" applyFill="1" applyBorder="1" applyAlignment="1" applyProtection="1">
      <alignment horizontal="center" vertical="center"/>
      <protection hidden="1"/>
    </xf>
    <xf numFmtId="2" fontId="80" fillId="8" borderId="50" xfId="0" applyNumberFormat="1" applyFont="1" applyFill="1" applyBorder="1" applyAlignment="1" applyProtection="1">
      <alignment horizontal="center" vertical="center"/>
      <protection hidden="1"/>
    </xf>
    <xf numFmtId="0" fontId="59" fillId="8" borderId="56" xfId="0" applyFont="1" applyFill="1" applyBorder="1" applyAlignment="1" applyProtection="1">
      <alignment horizontal="center" vertical="center"/>
      <protection hidden="1"/>
    </xf>
    <xf numFmtId="0" fontId="59" fillId="8" borderId="57" xfId="0" applyFont="1" applyFill="1" applyBorder="1" applyAlignment="1" applyProtection="1">
      <alignment horizontal="center" vertical="center"/>
      <protection hidden="1"/>
    </xf>
    <xf numFmtId="0" fontId="0" fillId="0" borderId="7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69" xfId="0" applyBorder="1" applyAlignment="1">
      <alignment horizontal="center"/>
    </xf>
    <xf numFmtId="0" fontId="65" fillId="0" borderId="0" xfId="0" applyFont="1" applyAlignment="1">
      <alignment horizontal="left"/>
    </xf>
    <xf numFmtId="0" fontId="40" fillId="0" borderId="14" xfId="0" applyFont="1" applyBorder="1" applyAlignment="1">
      <alignment horizontal="left"/>
    </xf>
    <xf numFmtId="0" fontId="59" fillId="0" borderId="14" xfId="0" applyFont="1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7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59" fillId="0" borderId="14" xfId="0" applyFont="1" applyBorder="1" applyAlignment="1">
      <alignment horizontal="center"/>
    </xf>
    <xf numFmtId="0" fontId="60" fillId="34" borderId="59" xfId="0" applyFont="1" applyFill="1" applyBorder="1" applyAlignment="1">
      <alignment wrapText="1"/>
    </xf>
    <xf numFmtId="0" fontId="60" fillId="34" borderId="58" xfId="0" applyFont="1" applyFill="1" applyBorder="1" applyAlignment="1">
      <alignment wrapText="1"/>
    </xf>
    <xf numFmtId="0" fontId="60" fillId="34" borderId="60" xfId="0" applyFont="1" applyFill="1" applyBorder="1" applyAlignment="1">
      <alignment wrapText="1"/>
    </xf>
    <xf numFmtId="0" fontId="59" fillId="8" borderId="9" xfId="0" applyFont="1" applyFill="1" applyBorder="1" applyAlignment="1">
      <alignment horizontal="center" wrapText="1"/>
    </xf>
    <xf numFmtId="0" fontId="59" fillId="8" borderId="10" xfId="0" applyFont="1" applyFill="1" applyBorder="1" applyAlignment="1">
      <alignment horizontal="center" wrapText="1"/>
    </xf>
    <xf numFmtId="0" fontId="59" fillId="8" borderId="11" xfId="0" applyFont="1" applyFill="1" applyBorder="1" applyAlignment="1">
      <alignment horizontal="center" wrapText="1"/>
    </xf>
    <xf numFmtId="165" fontId="65" fillId="6" borderId="9" xfId="0" applyNumberFormat="1" applyFont="1" applyFill="1" applyBorder="1" applyAlignment="1">
      <alignment horizontal="left"/>
    </xf>
    <xf numFmtId="165" fontId="65" fillId="6" borderId="11" xfId="0" applyNumberFormat="1" applyFont="1" applyFill="1" applyBorder="1" applyAlignment="1">
      <alignment horizontal="left"/>
    </xf>
    <xf numFmtId="165" fontId="65" fillId="6" borderId="10" xfId="0" applyNumberFormat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6" fillId="22" borderId="1" xfId="0" applyFont="1" applyFill="1" applyBorder="1" applyAlignment="1">
      <alignment horizontal="center" vertical="center" wrapText="1"/>
    </xf>
    <xf numFmtId="0" fontId="56" fillId="22" borderId="2" xfId="0" applyFont="1" applyFill="1" applyBorder="1" applyAlignment="1">
      <alignment horizontal="center" vertical="center" wrapText="1"/>
    </xf>
    <xf numFmtId="0" fontId="56" fillId="22" borderId="3" xfId="0" applyFont="1" applyFill="1" applyBorder="1" applyAlignment="1">
      <alignment horizontal="center" vertical="center" wrapText="1"/>
    </xf>
    <xf numFmtId="0" fontId="56" fillId="22" borderId="6" xfId="0" applyFont="1" applyFill="1" applyBorder="1" applyAlignment="1">
      <alignment horizontal="center" vertical="center" wrapText="1"/>
    </xf>
    <xf numFmtId="0" fontId="56" fillId="22" borderId="7" xfId="0" applyFont="1" applyFill="1" applyBorder="1" applyAlignment="1">
      <alignment horizontal="center" vertical="center" wrapText="1"/>
    </xf>
    <xf numFmtId="0" fontId="56" fillId="22" borderId="8" xfId="0" applyFont="1" applyFill="1" applyBorder="1" applyAlignment="1">
      <alignment horizontal="center" vertical="center" wrapText="1"/>
    </xf>
    <xf numFmtId="0" fontId="53" fillId="33" borderId="7" xfId="0" applyFont="1" applyFill="1" applyBorder="1" applyAlignment="1" applyProtection="1">
      <alignment horizontal="center"/>
      <protection locked="0"/>
    </xf>
    <xf numFmtId="0" fontId="57" fillId="2" borderId="1" xfId="0" applyFont="1" applyFill="1" applyBorder="1" applyAlignment="1">
      <alignment horizontal="center" wrapText="1"/>
    </xf>
    <xf numFmtId="0" fontId="57" fillId="2" borderId="2" xfId="0" applyFont="1" applyFill="1" applyBorder="1" applyAlignment="1">
      <alignment horizontal="center" wrapText="1"/>
    </xf>
    <xf numFmtId="0" fontId="53" fillId="3" borderId="12" xfId="0" applyFont="1" applyFill="1" applyBorder="1" applyAlignment="1" applyProtection="1">
      <alignment horizontal="center"/>
      <protection locked="0"/>
    </xf>
    <xf numFmtId="0" fontId="53" fillId="3" borderId="13" xfId="0" applyFont="1" applyFill="1" applyBorder="1" applyAlignment="1" applyProtection="1">
      <alignment horizontal="center"/>
      <protection locked="0"/>
    </xf>
    <xf numFmtId="0" fontId="57" fillId="2" borderId="4" xfId="0" applyFont="1" applyFill="1" applyBorder="1" applyAlignment="1">
      <alignment horizontal="center"/>
    </xf>
    <xf numFmtId="0" fontId="57" fillId="2" borderId="0" xfId="0" applyFont="1" applyFill="1" applyAlignment="1">
      <alignment horizontal="center"/>
    </xf>
    <xf numFmtId="0" fontId="57" fillId="2" borderId="5" xfId="0" applyFont="1" applyFill="1" applyBorder="1" applyAlignment="1">
      <alignment horizontal="center"/>
    </xf>
    <xf numFmtId="0" fontId="49" fillId="3" borderId="9" xfId="0" applyFont="1" applyFill="1" applyBorder="1" applyAlignment="1" applyProtection="1">
      <alignment horizontal="center"/>
      <protection locked="0"/>
    </xf>
    <xf numFmtId="0" fontId="53" fillId="3" borderId="10" xfId="0" applyFont="1" applyFill="1" applyBorder="1" applyAlignment="1" applyProtection="1">
      <alignment horizontal="center"/>
      <protection locked="0"/>
    </xf>
    <xf numFmtId="0" fontId="53" fillId="3" borderId="11" xfId="0" applyFont="1" applyFill="1" applyBorder="1" applyAlignment="1" applyProtection="1">
      <alignment horizontal="center"/>
      <protection locked="0"/>
    </xf>
    <xf numFmtId="14" fontId="148" fillId="0" borderId="1" xfId="0" applyNumberFormat="1" applyFont="1" applyBorder="1" applyAlignment="1">
      <alignment horizontal="center"/>
    </xf>
    <xf numFmtId="0" fontId="148" fillId="0" borderId="2" xfId="0" applyFont="1" applyBorder="1" applyAlignment="1">
      <alignment horizontal="center"/>
    </xf>
    <xf numFmtId="180" fontId="53" fillId="3" borderId="12" xfId="0" applyNumberFormat="1" applyFont="1" applyFill="1" applyBorder="1" applyAlignment="1" applyProtection="1">
      <alignment horizontal="center"/>
      <protection locked="0"/>
    </xf>
    <xf numFmtId="180" fontId="53" fillId="3" borderId="13" xfId="0" applyNumberFormat="1" applyFont="1" applyFill="1" applyBorder="1" applyAlignment="1" applyProtection="1">
      <alignment horizontal="center"/>
      <protection locked="0"/>
    </xf>
    <xf numFmtId="0" fontId="65" fillId="4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65" fillId="4" borderId="7" xfId="0" applyFont="1" applyFill="1" applyBorder="1" applyAlignment="1" applyProtection="1">
      <alignment vertical="top"/>
      <protection locked="0"/>
    </xf>
    <xf numFmtId="0" fontId="53" fillId="0" borderId="0" xfId="0" applyFont="1" applyAlignment="1">
      <alignment horizontal="center"/>
    </xf>
    <xf numFmtId="0" fontId="67" fillId="5" borderId="9" xfId="1" applyFill="1" applyBorder="1" applyAlignment="1" applyProtection="1">
      <alignment horizontal="center" wrapText="1"/>
    </xf>
    <xf numFmtId="0" fontId="67" fillId="0" borderId="10" xfId="1" applyBorder="1" applyAlignment="1" applyProtection="1"/>
    <xf numFmtId="0" fontId="67" fillId="0" borderId="11" xfId="1" applyBorder="1" applyAlignment="1" applyProtection="1"/>
    <xf numFmtId="49" fontId="67" fillId="4" borderId="7" xfId="1" applyNumberFormat="1" applyFill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67" fillId="4" borderId="7" xfId="1" applyNumberFormat="1" applyFill="1" applyBorder="1" applyAlignment="1" applyProtection="1">
      <protection locked="0"/>
    </xf>
    <xf numFmtId="49" fontId="0" fillId="0" borderId="7" xfId="0" applyNumberFormat="1" applyBorder="1" applyProtection="1">
      <protection locked="0"/>
    </xf>
    <xf numFmtId="49" fontId="65" fillId="4" borderId="7" xfId="0" applyNumberFormat="1" applyFont="1" applyFill="1" applyBorder="1" applyAlignment="1" applyProtection="1">
      <alignment horizontal="left"/>
      <protection locked="0"/>
    </xf>
    <xf numFmtId="49" fontId="65" fillId="4" borderId="7" xfId="0" applyNumberFormat="1" applyFont="1" applyFill="1" applyBorder="1" applyProtection="1">
      <protection locked="0"/>
    </xf>
    <xf numFmtId="177" fontId="111" fillId="6" borderId="112" xfId="0" applyNumberFormat="1" applyFont="1" applyFill="1" applyBorder="1" applyAlignment="1">
      <alignment horizontal="center" vertical="center" wrapText="1"/>
    </xf>
    <xf numFmtId="177" fontId="111" fillId="6" borderId="10" xfId="0" applyNumberFormat="1" applyFont="1" applyFill="1" applyBorder="1" applyAlignment="1">
      <alignment horizontal="center" vertical="center" wrapText="1"/>
    </xf>
    <xf numFmtId="177" fontId="111" fillId="6" borderId="11" xfId="0" applyNumberFormat="1" applyFont="1" applyFill="1" applyBorder="1" applyAlignment="1">
      <alignment horizontal="center" vertical="center" wrapText="1"/>
    </xf>
    <xf numFmtId="0" fontId="56" fillId="23" borderId="69" xfId="0" applyFont="1" applyFill="1" applyBorder="1" applyAlignment="1">
      <alignment horizontal="center"/>
    </xf>
    <xf numFmtId="0" fontId="56" fillId="23" borderId="64" xfId="0" applyFont="1" applyFill="1" applyBorder="1" applyAlignment="1">
      <alignment horizontal="center"/>
    </xf>
    <xf numFmtId="0" fontId="56" fillId="23" borderId="65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4" fontId="0" fillId="33" borderId="12" xfId="0" applyNumberFormat="1" applyFill="1" applyBorder="1" applyAlignment="1" applyProtection="1">
      <alignment horizontal="center"/>
      <protection locked="0"/>
    </xf>
    <xf numFmtId="14" fontId="0" fillId="33" borderId="13" xfId="0" applyNumberFormat="1" applyFill="1" applyBorder="1" applyAlignment="1" applyProtection="1">
      <alignment horizontal="center"/>
      <protection locked="0"/>
    </xf>
    <xf numFmtId="0" fontId="38" fillId="17" borderId="1" xfId="0" applyFont="1" applyFill="1" applyBorder="1" applyAlignment="1" applyProtection="1">
      <alignment horizontal="left" vertical="top"/>
      <protection locked="0"/>
    </xf>
    <xf numFmtId="0" fontId="39" fillId="17" borderId="2" xfId="0" applyFont="1" applyFill="1" applyBorder="1" applyAlignment="1" applyProtection="1">
      <alignment horizontal="left" vertical="top"/>
      <protection locked="0"/>
    </xf>
    <xf numFmtId="0" fontId="39" fillId="17" borderId="3" xfId="0" applyFont="1" applyFill="1" applyBorder="1" applyAlignment="1" applyProtection="1">
      <alignment horizontal="left" vertical="top"/>
      <protection locked="0"/>
    </xf>
    <xf numFmtId="0" fontId="39" fillId="17" borderId="4" xfId="0" applyFont="1" applyFill="1" applyBorder="1" applyAlignment="1" applyProtection="1">
      <alignment horizontal="left" vertical="top"/>
      <protection locked="0"/>
    </xf>
    <xf numFmtId="0" fontId="39" fillId="17" borderId="0" xfId="0" applyFont="1" applyFill="1" applyAlignment="1" applyProtection="1">
      <alignment horizontal="left" vertical="top"/>
      <protection locked="0"/>
    </xf>
    <xf numFmtId="0" fontId="39" fillId="17" borderId="5" xfId="0" applyFont="1" applyFill="1" applyBorder="1" applyAlignment="1" applyProtection="1">
      <alignment horizontal="left" vertical="top"/>
      <protection locked="0"/>
    </xf>
    <xf numFmtId="0" fontId="39" fillId="17" borderId="6" xfId="0" applyFont="1" applyFill="1" applyBorder="1" applyAlignment="1" applyProtection="1">
      <alignment horizontal="left" vertical="top"/>
      <protection locked="0"/>
    </xf>
    <xf numFmtId="0" fontId="39" fillId="17" borderId="7" xfId="0" applyFont="1" applyFill="1" applyBorder="1" applyAlignment="1" applyProtection="1">
      <alignment horizontal="left" vertical="top"/>
      <protection locked="0"/>
    </xf>
    <xf numFmtId="0" fontId="39" fillId="17" borderId="8" xfId="0" applyFont="1" applyFill="1" applyBorder="1" applyAlignment="1" applyProtection="1">
      <alignment horizontal="left" vertical="top"/>
      <protection locked="0"/>
    </xf>
    <xf numFmtId="0" fontId="0" fillId="17" borderId="1" xfId="0" applyFill="1" applyBorder="1" applyAlignment="1" applyProtection="1">
      <alignment horizontal="left" vertical="top" wrapText="1"/>
      <protection locked="0"/>
    </xf>
    <xf numFmtId="0" fontId="0" fillId="17" borderId="2" xfId="0" applyFill="1" applyBorder="1" applyAlignment="1" applyProtection="1">
      <alignment horizontal="left" vertical="top" wrapText="1"/>
      <protection locked="0"/>
    </xf>
    <xf numFmtId="0" fontId="0" fillId="17" borderId="3" xfId="0" applyFill="1" applyBorder="1" applyAlignment="1" applyProtection="1">
      <alignment horizontal="left" vertical="top" wrapText="1"/>
      <protection locked="0"/>
    </xf>
    <xf numFmtId="0" fontId="0" fillId="17" borderId="4" xfId="0" applyFill="1" applyBorder="1" applyAlignment="1" applyProtection="1">
      <alignment horizontal="left" vertical="top" wrapText="1"/>
      <protection locked="0"/>
    </xf>
    <xf numFmtId="0" fontId="0" fillId="17" borderId="0" xfId="0" applyFill="1" applyAlignment="1" applyProtection="1">
      <alignment horizontal="left" vertical="top" wrapText="1"/>
      <protection locked="0"/>
    </xf>
    <xf numFmtId="0" fontId="0" fillId="17" borderId="5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7" xfId="0" applyFill="1" applyBorder="1" applyAlignment="1" applyProtection="1">
      <alignment horizontal="left" vertical="top" wrapText="1"/>
      <protection locked="0"/>
    </xf>
    <xf numFmtId="0" fontId="0" fillId="17" borderId="8" xfId="0" applyFill="1" applyBorder="1" applyAlignment="1" applyProtection="1">
      <alignment horizontal="left" vertical="top" wrapText="1"/>
      <protection locked="0"/>
    </xf>
    <xf numFmtId="0" fontId="96" fillId="2" borderId="18" xfId="0" applyFont="1" applyFill="1" applyBorder="1" applyAlignment="1">
      <alignment horizontal="center"/>
    </xf>
    <xf numFmtId="0" fontId="96" fillId="2" borderId="13" xfId="0" applyFont="1" applyFill="1" applyBorder="1" applyAlignment="1">
      <alignment horizontal="center"/>
    </xf>
    <xf numFmtId="0" fontId="61" fillId="30" borderId="7" xfId="0" applyFont="1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44" fontId="59" fillId="2" borderId="70" xfId="2" applyFont="1" applyFill="1" applyBorder="1" applyAlignment="1" applyProtection="1">
      <alignment horizontal="center"/>
    </xf>
    <xf numFmtId="44" fontId="59" fillId="2" borderId="64" xfId="2" applyFont="1" applyFill="1" applyBorder="1" applyAlignment="1" applyProtection="1">
      <alignment horizontal="center"/>
    </xf>
    <xf numFmtId="44" fontId="59" fillId="2" borderId="65" xfId="2" applyFont="1" applyFill="1" applyBorder="1" applyAlignment="1" applyProtection="1">
      <alignment horizontal="center"/>
    </xf>
    <xf numFmtId="0" fontId="56" fillId="2" borderId="1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/>
    </xf>
    <xf numFmtId="0" fontId="56" fillId="2" borderId="4" xfId="0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44" fontId="59" fillId="2" borderId="70" xfId="2" applyFont="1" applyFill="1" applyBorder="1" applyAlignment="1" applyProtection="1">
      <alignment horizontal="left"/>
    </xf>
    <xf numFmtId="44" fontId="59" fillId="2" borderId="64" xfId="2" applyFont="1" applyFill="1" applyBorder="1" applyAlignment="1" applyProtection="1">
      <alignment horizontal="left"/>
    </xf>
    <xf numFmtId="44" fontId="59" fillId="2" borderId="65" xfId="2" applyFont="1" applyFill="1" applyBorder="1" applyAlignment="1" applyProtection="1">
      <alignment horizontal="left"/>
    </xf>
    <xf numFmtId="0" fontId="56" fillId="2" borderId="69" xfId="0" applyFont="1" applyFill="1" applyBorder="1" applyAlignment="1">
      <alignment horizontal="center"/>
    </xf>
    <xf numFmtId="0" fontId="56" fillId="2" borderId="64" xfId="0" applyFont="1" applyFill="1" applyBorder="1" applyAlignment="1">
      <alignment horizontal="center"/>
    </xf>
    <xf numFmtId="0" fontId="56" fillId="2" borderId="65" xfId="0" applyFont="1" applyFill="1" applyBorder="1" applyAlignment="1">
      <alignment horizontal="center"/>
    </xf>
    <xf numFmtId="0" fontId="0" fillId="6" borderId="12" xfId="0" applyFill="1" applyBorder="1" applyAlignment="1">
      <alignment horizontal="left" wrapText="1"/>
    </xf>
    <xf numFmtId="0" fontId="0" fillId="6" borderId="13" xfId="0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56" fillId="2" borderId="12" xfId="0" applyFont="1" applyFill="1" applyBorder="1" applyAlignment="1">
      <alignment horizontal="center" vertical="center"/>
    </xf>
    <xf numFmtId="0" fontId="56" fillId="2" borderId="18" xfId="0" applyFont="1" applyFill="1" applyBorder="1" applyAlignment="1">
      <alignment horizontal="center" vertical="center"/>
    </xf>
    <xf numFmtId="0" fontId="56" fillId="2" borderId="1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17" borderId="1" xfId="0" applyFill="1" applyBorder="1" applyAlignment="1" applyProtection="1">
      <alignment horizontal="left" vertical="top"/>
      <protection locked="0"/>
    </xf>
    <xf numFmtId="0" fontId="0" fillId="17" borderId="2" xfId="0" applyFill="1" applyBorder="1" applyAlignment="1" applyProtection="1">
      <alignment horizontal="left" vertical="top"/>
      <protection locked="0"/>
    </xf>
    <xf numFmtId="0" fontId="0" fillId="17" borderId="3" xfId="0" applyFill="1" applyBorder="1" applyAlignment="1" applyProtection="1">
      <alignment horizontal="left" vertical="top"/>
      <protection locked="0"/>
    </xf>
    <xf numFmtId="0" fontId="0" fillId="17" borderId="4" xfId="0" applyFill="1" applyBorder="1" applyAlignment="1" applyProtection="1">
      <alignment horizontal="left" vertical="top"/>
      <protection locked="0"/>
    </xf>
    <xf numFmtId="0" fontId="0" fillId="17" borderId="0" xfId="0" applyFill="1" applyAlignment="1" applyProtection="1">
      <alignment horizontal="left" vertical="top"/>
      <protection locked="0"/>
    </xf>
    <xf numFmtId="0" fontId="0" fillId="17" borderId="5" xfId="0" applyFill="1" applyBorder="1" applyAlignment="1" applyProtection="1">
      <alignment horizontal="left" vertical="top"/>
      <protection locked="0"/>
    </xf>
    <xf numFmtId="0" fontId="0" fillId="17" borderId="6" xfId="0" applyFill="1" applyBorder="1" applyAlignment="1" applyProtection="1">
      <alignment horizontal="left" vertical="top"/>
      <protection locked="0"/>
    </xf>
    <xf numFmtId="0" fontId="0" fillId="17" borderId="7" xfId="0" applyFill="1" applyBorder="1" applyAlignment="1" applyProtection="1">
      <alignment horizontal="left" vertical="top"/>
      <protection locked="0"/>
    </xf>
    <xf numFmtId="0" fontId="0" fillId="17" borderId="8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135" fillId="38" borderId="0" xfId="0" applyFont="1" applyFill="1" applyAlignment="1">
      <alignment horizontal="center" wrapText="1"/>
    </xf>
    <xf numFmtId="0" fontId="57" fillId="6" borderId="12" xfId="0" applyFont="1" applyFill="1" applyBorder="1" applyAlignment="1">
      <alignment horizontal="center" wrapText="1"/>
    </xf>
    <xf numFmtId="0" fontId="57" fillId="6" borderId="18" xfId="0" applyFont="1" applyFill="1" applyBorder="1" applyAlignment="1">
      <alignment horizontal="center" wrapText="1"/>
    </xf>
    <xf numFmtId="0" fontId="57" fillId="6" borderId="13" xfId="0" applyFont="1" applyFill="1" applyBorder="1" applyAlignment="1">
      <alignment horizontal="center" wrapText="1"/>
    </xf>
    <xf numFmtId="4" fontId="100" fillId="6" borderId="14" xfId="0" applyNumberFormat="1" applyFont="1" applyFill="1" applyBorder="1" applyAlignment="1">
      <alignment horizontal="center"/>
    </xf>
    <xf numFmtId="0" fontId="60" fillId="19" borderId="1" xfId="0" applyFont="1" applyFill="1" applyBorder="1" applyAlignment="1">
      <alignment horizontal="center" vertical="top" wrapText="1"/>
    </xf>
    <xf numFmtId="0" fontId="60" fillId="19" borderId="101" xfId="0" applyFont="1" applyFill="1" applyBorder="1" applyAlignment="1">
      <alignment horizontal="center" vertical="top" wrapText="1"/>
    </xf>
    <xf numFmtId="0" fontId="60" fillId="21" borderId="12" xfId="0" applyFont="1" applyFill="1" applyBorder="1" applyAlignment="1">
      <alignment horizontal="center" vertical="center" wrapText="1"/>
    </xf>
    <xf numFmtId="0" fontId="60" fillId="21" borderId="13" xfId="0" applyFont="1" applyFill="1" applyBorder="1" applyAlignment="1">
      <alignment horizontal="center" vertical="center" wrapText="1"/>
    </xf>
    <xf numFmtId="49" fontId="59" fillId="30" borderId="114" xfId="0" applyNumberFormat="1" applyFont="1" applyFill="1" applyBorder="1" applyAlignment="1">
      <alignment horizontal="left"/>
    </xf>
    <xf numFmtId="49" fontId="59" fillId="30" borderId="18" xfId="0" applyNumberFormat="1" applyFont="1" applyFill="1" applyBorder="1" applyAlignment="1">
      <alignment horizontal="left"/>
    </xf>
    <xf numFmtId="49" fontId="59" fillId="30" borderId="13" xfId="0" applyNumberFormat="1" applyFont="1" applyFill="1" applyBorder="1" applyAlignment="1">
      <alignment horizontal="left"/>
    </xf>
    <xf numFmtId="0" fontId="170" fillId="40" borderId="0" xfId="0" applyFont="1" applyFill="1" applyAlignment="1">
      <alignment horizontal="center" wrapText="1"/>
    </xf>
    <xf numFmtId="0" fontId="60" fillId="21" borderId="19" xfId="0" applyFont="1" applyFill="1" applyBorder="1" applyAlignment="1">
      <alignment horizontal="center" vertical="center" wrapText="1"/>
    </xf>
    <xf numFmtId="2" fontId="45" fillId="0" borderId="19" xfId="0" applyNumberFormat="1" applyFont="1" applyBorder="1" applyAlignment="1">
      <alignment horizontal="center"/>
    </xf>
    <xf numFmtId="2" fontId="45" fillId="0" borderId="20" xfId="0" applyNumberFormat="1" applyFont="1" applyBorder="1" applyAlignment="1">
      <alignment horizontal="center"/>
    </xf>
    <xf numFmtId="0" fontId="139" fillId="6" borderId="7" xfId="0" applyFont="1" applyFill="1" applyBorder="1" applyAlignment="1">
      <alignment horizontal="left"/>
    </xf>
    <xf numFmtId="0" fontId="139" fillId="6" borderId="107" xfId="0" applyFont="1" applyFill="1" applyBorder="1" applyAlignment="1">
      <alignment horizontal="left"/>
    </xf>
    <xf numFmtId="0" fontId="134" fillId="12" borderId="31" xfId="0" applyFont="1" applyFill="1" applyBorder="1" applyAlignment="1">
      <alignment horizontal="center" vertical="center" wrapText="1"/>
    </xf>
    <xf numFmtId="0" fontId="134" fillId="12" borderId="0" xfId="0" applyFont="1" applyFill="1" applyAlignment="1">
      <alignment horizontal="center" vertical="center" wrapText="1"/>
    </xf>
    <xf numFmtId="0" fontId="87" fillId="21" borderId="0" xfId="0" applyFont="1" applyFill="1" applyAlignment="1">
      <alignment horizontal="center"/>
    </xf>
    <xf numFmtId="0" fontId="135" fillId="25" borderId="0" xfId="0" applyFont="1" applyFill="1" applyAlignment="1">
      <alignment horizontal="center" wrapText="1"/>
    </xf>
    <xf numFmtId="0" fontId="60" fillId="21" borderId="91" xfId="0" applyFont="1" applyFill="1" applyBorder="1" applyAlignment="1">
      <alignment horizontal="center" vertical="center" wrapText="1"/>
    </xf>
    <xf numFmtId="0" fontId="60" fillId="21" borderId="95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60" fillId="21" borderId="94" xfId="0" applyFont="1" applyFill="1" applyBorder="1" applyAlignment="1">
      <alignment horizontal="center" vertical="center" wrapText="1"/>
    </xf>
    <xf numFmtId="0" fontId="60" fillId="21" borderId="5" xfId="0" applyFont="1" applyFill="1" applyBorder="1" applyAlignment="1">
      <alignment horizontal="center" vertical="center" wrapText="1"/>
    </xf>
    <xf numFmtId="0" fontId="45" fillId="0" borderId="34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110" xfId="0" applyFont="1" applyBorder="1" applyAlignment="1">
      <alignment horizontal="center"/>
    </xf>
    <xf numFmtId="0" fontId="45" fillId="0" borderId="111" xfId="0" applyFont="1" applyBorder="1" applyAlignment="1">
      <alignment horizontal="center"/>
    </xf>
    <xf numFmtId="0" fontId="145" fillId="16" borderId="9" xfId="0" applyFont="1" applyFill="1" applyBorder="1" applyAlignment="1">
      <alignment horizontal="center"/>
    </xf>
    <xf numFmtId="0" fontId="145" fillId="16" borderId="10" xfId="0" applyFont="1" applyFill="1" applyBorder="1" applyAlignment="1">
      <alignment horizontal="center"/>
    </xf>
    <xf numFmtId="0" fontId="145" fillId="16" borderId="11" xfId="0" applyFont="1" applyFill="1" applyBorder="1" applyAlignment="1">
      <alignment horizontal="center"/>
    </xf>
    <xf numFmtId="14" fontId="60" fillId="12" borderId="12" xfId="0" applyNumberFormat="1" applyFont="1" applyFill="1" applyBorder="1" applyAlignment="1" applyProtection="1">
      <alignment horizontal="left" vertical="center"/>
      <protection locked="0"/>
    </xf>
    <xf numFmtId="14" fontId="60" fillId="12" borderId="18" xfId="0" applyNumberFormat="1" applyFont="1" applyFill="1" applyBorder="1" applyAlignment="1" applyProtection="1">
      <alignment horizontal="left" vertical="center"/>
      <protection locked="0"/>
    </xf>
    <xf numFmtId="14" fontId="60" fillId="12" borderId="13" xfId="0" applyNumberFormat="1" applyFont="1" applyFill="1" applyBorder="1" applyAlignment="1" applyProtection="1">
      <alignment horizontal="left" vertical="center"/>
      <protection locked="0"/>
    </xf>
    <xf numFmtId="0" fontId="60" fillId="21" borderId="59" xfId="0" applyFont="1" applyFill="1" applyBorder="1" applyAlignment="1">
      <alignment horizontal="center" vertical="center" wrapText="1"/>
    </xf>
    <xf numFmtId="0" fontId="60" fillId="21" borderId="58" xfId="0" applyFont="1" applyFill="1" applyBorder="1" applyAlignment="1">
      <alignment horizontal="center" vertical="center" wrapText="1"/>
    </xf>
    <xf numFmtId="0" fontId="60" fillId="19" borderId="69" xfId="0" applyFont="1" applyFill="1" applyBorder="1" applyAlignment="1">
      <alignment horizontal="center" vertical="center" wrapText="1"/>
    </xf>
    <xf numFmtId="0" fontId="60" fillId="19" borderId="65" xfId="0" applyFont="1" applyFill="1" applyBorder="1" applyAlignment="1">
      <alignment horizontal="center" vertical="center" wrapText="1"/>
    </xf>
    <xf numFmtId="0" fontId="60" fillId="19" borderId="3" xfId="0" applyFont="1" applyFill="1" applyBorder="1" applyAlignment="1">
      <alignment horizontal="center" vertical="top" wrapText="1"/>
    </xf>
    <xf numFmtId="0" fontId="60" fillId="19" borderId="99" xfId="0" applyFont="1" applyFill="1" applyBorder="1" applyAlignment="1">
      <alignment horizontal="center" vertical="top" wrapText="1"/>
    </xf>
    <xf numFmtId="0" fontId="65" fillId="16" borderId="2" xfId="0" applyFont="1" applyFill="1" applyBorder="1" applyAlignment="1">
      <alignment horizontal="center"/>
    </xf>
    <xf numFmtId="1" fontId="60" fillId="21" borderId="58" xfId="0" applyNumberFormat="1" applyFont="1" applyFill="1" applyBorder="1" applyAlignment="1">
      <alignment horizontal="left" vertical="center"/>
    </xf>
    <xf numFmtId="1" fontId="60" fillId="21" borderId="0" xfId="0" applyNumberFormat="1" applyFont="1" applyFill="1" applyAlignment="1">
      <alignment horizontal="left" vertical="center"/>
    </xf>
    <xf numFmtId="0" fontId="60" fillId="7" borderId="61" xfId="17" applyFont="1" applyFill="1" applyBorder="1" applyAlignment="1" applyProtection="1">
      <alignment horizontal="center" vertical="center"/>
    </xf>
    <xf numFmtId="0" fontId="60" fillId="7" borderId="62" xfId="17" applyFont="1" applyFill="1" applyBorder="1" applyAlignment="1" applyProtection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60" fillId="12" borderId="12" xfId="0" applyFont="1" applyFill="1" applyBorder="1" applyAlignment="1" applyProtection="1">
      <alignment horizontal="left" vertical="center"/>
      <protection locked="0"/>
    </xf>
    <xf numFmtId="0" fontId="60" fillId="12" borderId="18" xfId="0" applyFont="1" applyFill="1" applyBorder="1" applyAlignment="1" applyProtection="1">
      <alignment horizontal="left" vertical="center"/>
      <protection locked="0"/>
    </xf>
    <xf numFmtId="0" fontId="60" fillId="12" borderId="13" xfId="0" applyFont="1" applyFill="1" applyBorder="1" applyAlignment="1" applyProtection="1">
      <alignment horizontal="left" vertical="center"/>
      <protection locked="0"/>
    </xf>
    <xf numFmtId="49" fontId="60" fillId="12" borderId="12" xfId="0" applyNumberFormat="1" applyFont="1" applyFill="1" applyBorder="1" applyAlignment="1" applyProtection="1">
      <alignment horizontal="left" vertical="center"/>
      <protection locked="0"/>
    </xf>
    <xf numFmtId="49" fontId="60" fillId="12" borderId="18" xfId="0" applyNumberFormat="1" applyFont="1" applyFill="1" applyBorder="1" applyAlignment="1" applyProtection="1">
      <alignment horizontal="left" vertical="center"/>
      <protection locked="0"/>
    </xf>
    <xf numFmtId="49" fontId="60" fillId="12" borderId="13" xfId="0" applyNumberFormat="1" applyFont="1" applyFill="1" applyBorder="1" applyAlignment="1" applyProtection="1">
      <alignment horizontal="left" vertical="center"/>
      <protection locked="0"/>
    </xf>
    <xf numFmtId="0" fontId="60" fillId="21" borderId="62" xfId="0" applyFont="1" applyFill="1" applyBorder="1" applyAlignment="1">
      <alignment horizontal="right"/>
    </xf>
    <xf numFmtId="0" fontId="67" fillId="16" borderId="9" xfId="1" applyFill="1" applyBorder="1" applyAlignment="1" applyProtection="1">
      <alignment horizontal="center"/>
      <protection hidden="1"/>
    </xf>
    <xf numFmtId="0" fontId="67" fillId="16" borderId="10" xfId="1" applyFill="1" applyBorder="1" applyAlignment="1" applyProtection="1">
      <alignment horizontal="center"/>
      <protection hidden="1"/>
    </xf>
    <xf numFmtId="0" fontId="67" fillId="16" borderId="10" xfId="1" applyFill="1" applyBorder="1" applyAlignment="1" applyProtection="1">
      <alignment horizontal="center"/>
    </xf>
    <xf numFmtId="0" fontId="67" fillId="16" borderId="11" xfId="1" applyFill="1" applyBorder="1" applyAlignment="1" applyProtection="1">
      <alignment horizontal="center"/>
    </xf>
    <xf numFmtId="165" fontId="45" fillId="0" borderId="12" xfId="0" applyNumberFormat="1" applyFont="1" applyBorder="1" applyAlignment="1">
      <alignment horizontal="center"/>
    </xf>
    <xf numFmtId="165" fontId="45" fillId="0" borderId="13" xfId="0" applyNumberFormat="1" applyFont="1" applyBorder="1" applyAlignment="1">
      <alignment horizontal="center"/>
    </xf>
    <xf numFmtId="165" fontId="45" fillId="0" borderId="14" xfId="0" applyNumberFormat="1" applyFont="1" applyBorder="1" applyAlignment="1">
      <alignment horizontal="center"/>
    </xf>
    <xf numFmtId="165" fontId="45" fillId="0" borderId="20" xfId="0" applyNumberFormat="1" applyFont="1" applyBorder="1" applyAlignment="1">
      <alignment horizontal="center"/>
    </xf>
    <xf numFmtId="10" fontId="45" fillId="29" borderId="112" xfId="3" applyNumberFormat="1" applyFont="1" applyFill="1" applyBorder="1" applyAlignment="1" applyProtection="1">
      <alignment horizontal="center"/>
    </xf>
    <xf numFmtId="10" fontId="45" fillId="29" borderId="105" xfId="3" applyNumberFormat="1" applyFont="1" applyFill="1" applyBorder="1" applyAlignment="1" applyProtection="1">
      <alignment horizontal="center"/>
    </xf>
    <xf numFmtId="10" fontId="45" fillId="29" borderId="106" xfId="3" applyNumberFormat="1" applyFont="1" applyFill="1" applyBorder="1" applyAlignment="1" applyProtection="1">
      <alignment horizontal="center"/>
    </xf>
    <xf numFmtId="10" fontId="45" fillId="29" borderId="23" xfId="3" applyNumberFormat="1" applyFont="1" applyFill="1" applyBorder="1" applyAlignment="1" applyProtection="1">
      <alignment horizontal="center"/>
    </xf>
    <xf numFmtId="183" fontId="87" fillId="31" borderId="9" xfId="0" applyNumberFormat="1" applyFont="1" applyFill="1" applyBorder="1" applyAlignment="1">
      <alignment horizontal="center"/>
    </xf>
    <xf numFmtId="183" fontId="87" fillId="31" borderId="10" xfId="0" applyNumberFormat="1" applyFont="1" applyFill="1" applyBorder="1" applyAlignment="1">
      <alignment horizontal="center"/>
    </xf>
    <xf numFmtId="183" fontId="87" fillId="31" borderId="11" xfId="0" applyNumberFormat="1" applyFont="1" applyFill="1" applyBorder="1" applyAlignment="1">
      <alignment horizontal="center"/>
    </xf>
    <xf numFmtId="184" fontId="127" fillId="24" borderId="12" xfId="2" applyNumberFormat="1" applyFont="1" applyFill="1" applyBorder="1" applyAlignment="1" applyProtection="1">
      <alignment horizontal="center"/>
    </xf>
    <xf numFmtId="184" fontId="127" fillId="24" borderId="13" xfId="2" applyNumberFormat="1" applyFont="1" applyFill="1" applyBorder="1" applyAlignment="1" applyProtection="1">
      <alignment horizontal="center"/>
    </xf>
    <xf numFmtId="183" fontId="87" fillId="6" borderId="10" xfId="0" applyNumberFormat="1" applyFont="1" applyFill="1" applyBorder="1" applyAlignment="1">
      <alignment horizontal="center"/>
    </xf>
    <xf numFmtId="182" fontId="59" fillId="22" borderId="9" xfId="2" applyNumberFormat="1" applyFont="1" applyFill="1" applyBorder="1" applyAlignment="1" applyProtection="1">
      <alignment horizontal="center"/>
    </xf>
    <xf numFmtId="182" fontId="59" fillId="22" borderId="11" xfId="2" applyNumberFormat="1" applyFont="1" applyFill="1" applyBorder="1" applyAlignment="1" applyProtection="1">
      <alignment horizontal="center"/>
    </xf>
    <xf numFmtId="0" fontId="45" fillId="16" borderId="77" xfId="0" applyFont="1" applyFill="1" applyBorder="1" applyAlignment="1">
      <alignment horizontal="center"/>
    </xf>
    <xf numFmtId="0" fontId="45" fillId="16" borderId="78" xfId="0" applyFont="1" applyFill="1" applyBorder="1" applyAlignment="1">
      <alignment horizontal="center"/>
    </xf>
    <xf numFmtId="0" fontId="45" fillId="16" borderId="64" xfId="0" applyFont="1" applyFill="1" applyBorder="1" applyAlignment="1">
      <alignment horizontal="center"/>
    </xf>
    <xf numFmtId="0" fontId="45" fillId="16" borderId="65" xfId="0" applyFont="1" applyFill="1" applyBorder="1" applyAlignment="1">
      <alignment horizontal="center"/>
    </xf>
    <xf numFmtId="185" fontId="74" fillId="16" borderId="12" xfId="0" applyNumberFormat="1" applyFont="1" applyFill="1" applyBorder="1" applyAlignment="1">
      <alignment horizontal="center"/>
    </xf>
    <xf numFmtId="185" fontId="74" fillId="16" borderId="18" xfId="0" applyNumberFormat="1" applyFont="1" applyFill="1" applyBorder="1" applyAlignment="1">
      <alignment horizontal="center"/>
    </xf>
    <xf numFmtId="185" fontId="74" fillId="16" borderId="13" xfId="0" applyNumberFormat="1" applyFont="1" applyFill="1" applyBorder="1" applyAlignment="1">
      <alignment horizontal="center"/>
    </xf>
    <xf numFmtId="185" fontId="64" fillId="16" borderId="12" xfId="0" applyNumberFormat="1" applyFont="1" applyFill="1" applyBorder="1" applyAlignment="1">
      <alignment horizontal="center"/>
    </xf>
    <xf numFmtId="185" fontId="64" fillId="16" borderId="18" xfId="0" applyNumberFormat="1" applyFont="1" applyFill="1" applyBorder="1" applyAlignment="1">
      <alignment horizontal="center"/>
    </xf>
    <xf numFmtId="185" fontId="64" fillId="16" borderId="13" xfId="0" applyNumberFormat="1" applyFont="1" applyFill="1" applyBorder="1" applyAlignment="1">
      <alignment horizontal="center"/>
    </xf>
    <xf numFmtId="185" fontId="69" fillId="16" borderId="12" xfId="0" applyNumberFormat="1" applyFont="1" applyFill="1" applyBorder="1" applyAlignment="1">
      <alignment horizontal="center"/>
    </xf>
    <xf numFmtId="185" fontId="69" fillId="16" borderId="18" xfId="0" applyNumberFormat="1" applyFont="1" applyFill="1" applyBorder="1" applyAlignment="1">
      <alignment horizontal="center"/>
    </xf>
    <xf numFmtId="185" fontId="69" fillId="16" borderId="13" xfId="0" applyNumberFormat="1" applyFont="1" applyFill="1" applyBorder="1" applyAlignment="1">
      <alignment horizontal="center"/>
    </xf>
    <xf numFmtId="164" fontId="45" fillId="6" borderId="14" xfId="2" applyNumberFormat="1" applyFont="1" applyFill="1" applyBorder="1" applyAlignment="1" applyProtection="1">
      <alignment horizontal="center" vertical="center"/>
    </xf>
    <xf numFmtId="164" fontId="45" fillId="0" borderId="14" xfId="2" applyNumberFormat="1" applyFont="1" applyBorder="1" applyAlignment="1" applyProtection="1">
      <alignment horizontal="center" vertical="center"/>
    </xf>
    <xf numFmtId="0" fontId="25" fillId="7" borderId="6" xfId="0" applyFont="1" applyFill="1" applyBorder="1" applyAlignment="1">
      <alignment horizontal="center" wrapText="1"/>
    </xf>
    <xf numFmtId="0" fontId="25" fillId="7" borderId="8" xfId="0" applyFont="1" applyFill="1" applyBorder="1" applyAlignment="1">
      <alignment horizontal="center" wrapText="1"/>
    </xf>
    <xf numFmtId="0" fontId="99" fillId="0" borderId="0" xfId="0" applyFont="1" applyAlignment="1">
      <alignment horizontal="center" vertical="center" wrapText="1"/>
    </xf>
    <xf numFmtId="0" fontId="59" fillId="18" borderId="9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45" fillId="6" borderId="1" xfId="0" applyFont="1" applyFill="1" applyBorder="1" applyAlignment="1">
      <alignment horizontal="center"/>
    </xf>
    <xf numFmtId="0" fontId="45" fillId="6" borderId="2" xfId="0" applyFont="1" applyFill="1" applyBorder="1" applyAlignment="1">
      <alignment horizontal="center"/>
    </xf>
    <xf numFmtId="0" fontId="45" fillId="6" borderId="3" xfId="0" applyFont="1" applyFill="1" applyBorder="1" applyAlignment="1">
      <alignment horizontal="center"/>
    </xf>
    <xf numFmtId="0" fontId="45" fillId="6" borderId="4" xfId="0" applyFont="1" applyFill="1" applyBorder="1" applyAlignment="1">
      <alignment horizontal="center"/>
    </xf>
    <xf numFmtId="0" fontId="45" fillId="6" borderId="0" xfId="0" applyFont="1" applyFill="1" applyAlignment="1">
      <alignment horizontal="center"/>
    </xf>
    <xf numFmtId="0" fontId="45" fillId="6" borderId="5" xfId="0" applyFont="1" applyFill="1" applyBorder="1" applyAlignment="1">
      <alignment horizontal="center"/>
    </xf>
    <xf numFmtId="0" fontId="45" fillId="6" borderId="100" xfId="0" applyFont="1" applyFill="1" applyBorder="1" applyAlignment="1">
      <alignment horizontal="center"/>
    </xf>
    <xf numFmtId="0" fontId="45" fillId="6" borderId="62" xfId="0" applyFont="1" applyFill="1" applyBorder="1" applyAlignment="1">
      <alignment horizontal="center"/>
    </xf>
    <xf numFmtId="0" fontId="45" fillId="6" borderId="99" xfId="0" applyFont="1" applyFill="1" applyBorder="1" applyAlignment="1">
      <alignment horizontal="center"/>
    </xf>
    <xf numFmtId="0" fontId="60" fillId="21" borderId="92" xfId="0" applyFont="1" applyFill="1" applyBorder="1" applyAlignment="1">
      <alignment horizontal="center" vertical="center" wrapText="1"/>
    </xf>
    <xf numFmtId="0" fontId="60" fillId="21" borderId="97" xfId="0" applyFont="1" applyFill="1" applyBorder="1" applyAlignment="1">
      <alignment horizontal="center" vertical="center" wrapText="1"/>
    </xf>
    <xf numFmtId="0" fontId="60" fillId="19" borderId="81" xfId="0" applyFont="1" applyFill="1" applyBorder="1" applyAlignment="1">
      <alignment horizontal="center" vertical="top" wrapText="1"/>
    </xf>
    <xf numFmtId="0" fontId="60" fillId="19" borderId="98" xfId="0" applyFont="1" applyFill="1" applyBorder="1" applyAlignment="1">
      <alignment horizontal="center" vertical="top" wrapText="1"/>
    </xf>
    <xf numFmtId="0" fontId="60" fillId="19" borderId="6" xfId="0" applyFont="1" applyFill="1" applyBorder="1" applyAlignment="1">
      <alignment horizontal="center" vertical="top" wrapText="1"/>
    </xf>
    <xf numFmtId="0" fontId="60" fillId="19" borderId="8" xfId="0" applyFont="1" applyFill="1" applyBorder="1" applyAlignment="1">
      <alignment horizontal="center" vertical="top" wrapText="1"/>
    </xf>
    <xf numFmtId="0" fontId="60" fillId="19" borderId="100" xfId="0" applyFont="1" applyFill="1" applyBorder="1" applyAlignment="1">
      <alignment horizontal="center" vertical="top" wrapText="1"/>
    </xf>
    <xf numFmtId="0" fontId="60" fillId="19" borderId="70" xfId="0" applyFont="1" applyFill="1" applyBorder="1" applyAlignment="1">
      <alignment horizontal="center" vertical="center"/>
    </xf>
    <xf numFmtId="0" fontId="60" fillId="19" borderId="64" xfId="0" applyFont="1" applyFill="1" applyBorder="1" applyAlignment="1">
      <alignment horizontal="center" vertical="center"/>
    </xf>
    <xf numFmtId="0" fontId="60" fillId="21" borderId="93" xfId="0" applyFont="1" applyFill="1" applyBorder="1" applyAlignment="1">
      <alignment horizontal="center" vertical="center" wrapText="1"/>
    </xf>
    <xf numFmtId="0" fontId="60" fillId="21" borderId="21" xfId="0" applyFont="1" applyFill="1" applyBorder="1" applyAlignment="1">
      <alignment horizontal="center" vertical="center" wrapText="1"/>
    </xf>
    <xf numFmtId="0" fontId="60" fillId="21" borderId="71" xfId="0" applyFont="1" applyFill="1" applyBorder="1" applyAlignment="1">
      <alignment horizontal="center" vertical="center" wrapText="1"/>
    </xf>
    <xf numFmtId="0" fontId="60" fillId="21" borderId="4" xfId="0" applyFont="1" applyFill="1" applyBorder="1" applyAlignment="1">
      <alignment horizontal="center" vertical="center" wrapText="1"/>
    </xf>
    <xf numFmtId="0" fontId="60" fillId="21" borderId="6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/>
    </xf>
    <xf numFmtId="0" fontId="57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5" xfId="0" applyBorder="1"/>
    <xf numFmtId="0" fontId="67" fillId="5" borderId="9" xfId="1" applyFill="1" applyBorder="1" applyAlignment="1" applyProtection="1">
      <alignment horizontal="center" wrapText="1"/>
      <protection hidden="1"/>
    </xf>
    <xf numFmtId="0" fontId="67" fillId="0" borderId="10" xfId="1" applyBorder="1" applyAlignment="1" applyProtection="1">
      <protection hidden="1"/>
    </xf>
    <xf numFmtId="0" fontId="67" fillId="0" borderId="11" xfId="1" applyBorder="1" applyAlignment="1" applyProtection="1">
      <protection hidden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Alignment="1">
      <alignment horizontal="center"/>
    </xf>
    <xf numFmtId="0" fontId="65" fillId="2" borderId="4" xfId="0" applyFont="1" applyFill="1" applyBorder="1" applyAlignment="1">
      <alignment horizontal="center"/>
    </xf>
    <xf numFmtId="0" fontId="65" fillId="2" borderId="0" xfId="0" applyFont="1" applyFill="1" applyAlignment="1">
      <alignment horizontal="center"/>
    </xf>
    <xf numFmtId="0" fontId="48" fillId="0" borderId="0" xfId="0" applyFont="1"/>
    <xf numFmtId="0" fontId="48" fillId="0" borderId="5" xfId="0" applyFont="1" applyBorder="1"/>
    <xf numFmtId="0" fontId="65" fillId="0" borderId="2" xfId="0" applyFont="1" applyBorder="1" applyAlignment="1">
      <alignment horizontal="center"/>
    </xf>
    <xf numFmtId="0" fontId="65" fillId="0" borderId="7" xfId="0" applyFont="1" applyBorder="1" applyAlignment="1">
      <alignment horizontal="center"/>
    </xf>
    <xf numFmtId="0" fontId="54" fillId="9" borderId="7" xfId="0" applyFont="1" applyFill="1" applyBorder="1" applyProtection="1">
      <protection locked="0"/>
    </xf>
    <xf numFmtId="0" fontId="79" fillId="0" borderId="0" xfId="0" applyFont="1" applyAlignment="1">
      <alignment horizontal="center" wrapText="1"/>
    </xf>
    <xf numFmtId="0" fontId="65" fillId="0" borderId="0" xfId="0" applyFont="1" applyAlignment="1">
      <alignment horizontal="left" vertical="top"/>
    </xf>
    <xf numFmtId="0" fontId="0" fillId="9" borderId="0" xfId="0" applyFill="1" applyAlignment="1" applyProtection="1">
      <alignment horizontal="center" vertical="top" wrapText="1"/>
      <protection locked="0"/>
    </xf>
    <xf numFmtId="0" fontId="54" fillId="9" borderId="0" xfId="0" applyFont="1" applyFill="1" applyAlignment="1" applyProtection="1">
      <alignment horizontal="center" vertical="top" wrapText="1"/>
      <protection locked="0"/>
    </xf>
    <xf numFmtId="0" fontId="54" fillId="6" borderId="0" xfId="0" applyFont="1" applyFill="1" applyAlignment="1">
      <alignment horizontal="center"/>
    </xf>
    <xf numFmtId="0" fontId="87" fillId="2" borderId="1" xfId="0" applyFont="1" applyFill="1" applyBorder="1" applyAlignment="1">
      <alignment horizontal="center"/>
    </xf>
    <xf numFmtId="0" fontId="87" fillId="2" borderId="2" xfId="0" applyFont="1" applyFill="1" applyBorder="1" applyAlignment="1">
      <alignment horizontal="center"/>
    </xf>
    <xf numFmtId="0" fontId="88" fillId="0" borderId="3" xfId="0" applyFont="1" applyBorder="1" applyAlignment="1">
      <alignment horizontal="center"/>
    </xf>
    <xf numFmtId="0" fontId="88" fillId="2" borderId="4" xfId="0" applyFont="1" applyFill="1" applyBorder="1" applyAlignment="1">
      <alignment horizontal="center" vertical="center"/>
    </xf>
    <xf numFmtId="0" fontId="88" fillId="2" borderId="0" xfId="0" applyFont="1" applyFill="1" applyAlignment="1">
      <alignment horizontal="center" vertical="center"/>
    </xf>
    <xf numFmtId="0" fontId="88" fillId="0" borderId="5" xfId="0" applyFont="1" applyBorder="1" applyAlignment="1">
      <alignment horizontal="center" vertical="center"/>
    </xf>
    <xf numFmtId="0" fontId="87" fillId="2" borderId="4" xfId="0" applyFont="1" applyFill="1" applyBorder="1" applyAlignment="1">
      <alignment horizontal="center"/>
    </xf>
    <xf numFmtId="0" fontId="87" fillId="2" borderId="0" xfId="0" applyFont="1" applyFill="1" applyAlignment="1">
      <alignment horizontal="center"/>
    </xf>
    <xf numFmtId="0" fontId="88" fillId="0" borderId="5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31" xfId="0" applyFont="1" applyBorder="1" applyAlignment="1">
      <alignment horizontal="center"/>
    </xf>
    <xf numFmtId="0" fontId="57" fillId="6" borderId="0" xfId="0" applyFont="1" applyFill="1" applyAlignment="1">
      <alignment horizontal="left" vertical="top" wrapText="1"/>
    </xf>
    <xf numFmtId="0" fontId="57" fillId="6" borderId="0" xfId="0" applyFont="1" applyFill="1" applyAlignment="1">
      <alignment horizontal="left" vertical="top"/>
    </xf>
    <xf numFmtId="0" fontId="43" fillId="7" borderId="0" xfId="0" applyFont="1" applyFill="1" applyAlignment="1">
      <alignment horizontal="left"/>
    </xf>
    <xf numFmtId="0" fontId="59" fillId="2" borderId="12" xfId="0" applyFont="1" applyFill="1" applyBorder="1" applyAlignment="1">
      <alignment horizontal="left" vertical="center"/>
    </xf>
    <xf numFmtId="0" fontId="59" fillId="2" borderId="18" xfId="0" applyFont="1" applyFill="1" applyBorder="1" applyAlignment="1">
      <alignment horizontal="left" vertical="center"/>
    </xf>
    <xf numFmtId="0" fontId="59" fillId="16" borderId="0" xfId="0" applyFont="1" applyFill="1" applyAlignment="1">
      <alignment horizontal="left"/>
    </xf>
    <xf numFmtId="0" fontId="59" fillId="16" borderId="14" xfId="0" applyFont="1" applyFill="1" applyBorder="1" applyAlignment="1">
      <alignment horizontal="left"/>
    </xf>
    <xf numFmtId="0" fontId="59" fillId="16" borderId="12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65" fillId="6" borderId="58" xfId="0" applyFont="1" applyFill="1" applyBorder="1" applyAlignment="1">
      <alignment horizontal="left" wrapText="1"/>
    </xf>
    <xf numFmtId="0" fontId="65" fillId="6" borderId="60" xfId="0" applyFont="1" applyFill="1" applyBorder="1" applyAlignment="1">
      <alignment horizontal="left" wrapText="1"/>
    </xf>
    <xf numFmtId="0" fontId="65" fillId="6" borderId="62" xfId="0" applyFont="1" applyFill="1" applyBorder="1" applyAlignment="1">
      <alignment horizontal="left" wrapText="1"/>
    </xf>
    <xf numFmtId="0" fontId="65" fillId="6" borderId="63" xfId="0" applyFont="1" applyFill="1" applyBorder="1" applyAlignment="1">
      <alignment horizontal="left" wrapText="1"/>
    </xf>
    <xf numFmtId="0" fontId="59" fillId="18" borderId="1" xfId="0" applyFont="1" applyFill="1" applyBorder="1" applyAlignment="1">
      <alignment horizontal="center"/>
    </xf>
    <xf numFmtId="0" fontId="59" fillId="18" borderId="2" xfId="0" applyFont="1" applyFill="1" applyBorder="1" applyAlignment="1">
      <alignment horizontal="center"/>
    </xf>
    <xf numFmtId="0" fontId="59" fillId="18" borderId="3" xfId="0" applyFont="1" applyFill="1" applyBorder="1" applyAlignment="1">
      <alignment horizontal="center"/>
    </xf>
    <xf numFmtId="0" fontId="57" fillId="2" borderId="1" xfId="0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horizontal="center" vertical="center" wrapText="1"/>
    </xf>
    <xf numFmtId="0" fontId="57" fillId="2" borderId="4" xfId="0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left"/>
    </xf>
    <xf numFmtId="0" fontId="57" fillId="2" borderId="1" xfId="0" applyFont="1" applyFill="1" applyBorder="1" applyAlignment="1">
      <alignment wrapText="1"/>
    </xf>
    <xf numFmtId="0" fontId="57" fillId="2" borderId="2" xfId="0" applyFont="1" applyFill="1" applyBorder="1"/>
    <xf numFmtId="0" fontId="57" fillId="2" borderId="3" xfId="0" applyFont="1" applyFill="1" applyBorder="1"/>
    <xf numFmtId="0" fontId="57" fillId="2" borderId="4" xfId="0" applyFont="1" applyFill="1" applyBorder="1"/>
    <xf numFmtId="0" fontId="57" fillId="2" borderId="0" xfId="0" applyFont="1" applyFill="1"/>
    <xf numFmtId="0" fontId="57" fillId="2" borderId="5" xfId="0" applyFont="1" applyFill="1" applyBorder="1"/>
    <xf numFmtId="0" fontId="57" fillId="2" borderId="6" xfId="0" applyFont="1" applyFill="1" applyBorder="1"/>
    <xf numFmtId="0" fontId="57" fillId="2" borderId="7" xfId="0" applyFont="1" applyFill="1" applyBorder="1"/>
    <xf numFmtId="0" fontId="57" fillId="2" borderId="8" xfId="0" applyFont="1" applyFill="1" applyBorder="1"/>
    <xf numFmtId="0" fontId="54" fillId="6" borderId="4" xfId="0" applyFont="1" applyFill="1" applyBorder="1"/>
    <xf numFmtId="0" fontId="59" fillId="8" borderId="9" xfId="0" applyFont="1" applyFill="1" applyBorder="1" applyAlignment="1">
      <alignment horizontal="center"/>
    </xf>
    <xf numFmtId="0" fontId="59" fillId="8" borderId="10" xfId="0" applyFont="1" applyFill="1" applyBorder="1" applyAlignment="1">
      <alignment horizontal="center"/>
    </xf>
    <xf numFmtId="0" fontId="59" fillId="8" borderId="11" xfId="0" applyFont="1" applyFill="1" applyBorder="1" applyAlignment="1">
      <alignment horizontal="center"/>
    </xf>
    <xf numFmtId="44" fontId="69" fillId="8" borderId="20" xfId="2" applyFont="1" applyFill="1" applyBorder="1" applyAlignment="1">
      <alignment horizontal="center" wrapText="1"/>
    </xf>
    <xf numFmtId="44" fontId="69" fillId="8" borderId="21" xfId="2" applyFont="1" applyFill="1" applyBorder="1" applyAlignment="1">
      <alignment horizontal="center" wrapText="1"/>
    </xf>
    <xf numFmtId="0" fontId="59" fillId="32" borderId="9" xfId="0" applyFont="1" applyFill="1" applyBorder="1" applyAlignment="1">
      <alignment horizontal="center"/>
    </xf>
    <xf numFmtId="0" fontId="59" fillId="32" borderId="10" xfId="0" applyFont="1" applyFill="1" applyBorder="1" applyAlignment="1">
      <alignment horizontal="center"/>
    </xf>
    <xf numFmtId="0" fontId="59" fillId="32" borderId="11" xfId="0" applyFont="1" applyFill="1" applyBorder="1" applyAlignment="1">
      <alignment horizontal="center"/>
    </xf>
    <xf numFmtId="14" fontId="18" fillId="0" borderId="14" xfId="0" applyNumberFormat="1" applyFont="1" applyBorder="1" applyAlignment="1">
      <alignment horizontal="center"/>
    </xf>
    <xf numFmtId="0" fontId="2" fillId="0" borderId="14" xfId="0" applyFont="1" applyBorder="1"/>
    <xf numFmtId="0" fontId="1" fillId="0" borderId="14" xfId="0" applyFont="1" applyBorder="1"/>
    <xf numFmtId="0" fontId="64" fillId="0" borderId="14" xfId="0" applyFont="1" applyBorder="1"/>
  </cellXfs>
  <cellStyles count="19">
    <cellStyle name="40 % - Akzent3" xfId="17" builtinId="39"/>
    <cellStyle name="40% - Akzent1 2" xfId="6" xr:uid="{00000000-0005-0000-0000-000001000000}"/>
    <cellStyle name="40% - Akzent3 2" xfId="7" xr:uid="{00000000-0005-0000-0000-000002000000}"/>
    <cellStyle name="Datum" xfId="8" xr:uid="{00000000-0005-0000-0000-000003000000}"/>
    <cellStyle name="Eingabe 2" xfId="4" xr:uid="{00000000-0005-0000-0000-000004000000}"/>
    <cellStyle name="Eingabe 2 2" xfId="9" xr:uid="{00000000-0005-0000-0000-000005000000}"/>
    <cellStyle name="Eingabe 3" xfId="10" xr:uid="{00000000-0005-0000-0000-000006000000}"/>
    <cellStyle name="Formelfeld" xfId="11" xr:uid="{00000000-0005-0000-0000-000007000000}"/>
    <cellStyle name="Formular" xfId="12" xr:uid="{00000000-0005-0000-0000-000008000000}"/>
    <cellStyle name="Link" xfId="1" builtinId="8"/>
    <cellStyle name="Prozent" xfId="3" builtinId="5"/>
    <cellStyle name="Prozent 2" xfId="5" xr:uid="{00000000-0005-0000-0000-00000B000000}"/>
    <cellStyle name="Standard" xfId="0" builtinId="0"/>
    <cellStyle name="Standard 2" xfId="13" xr:uid="{00000000-0005-0000-0000-00000D000000}"/>
    <cellStyle name="Standard 4" xfId="18" xr:uid="{00000000-0005-0000-0000-00000E000000}"/>
    <cellStyle name="Stunden" xfId="14" xr:uid="{00000000-0005-0000-0000-00000F000000}"/>
    <cellStyle name="Text" xfId="15" xr:uid="{00000000-0005-0000-0000-000010000000}"/>
    <cellStyle name="VZK" xfId="16" xr:uid="{00000000-0005-0000-0000-000011000000}"/>
    <cellStyle name="Währung" xfId="2" builtinId="4"/>
  </cellStyles>
  <dxfs count="152">
    <dxf>
      <font>
        <color theme="0"/>
      </font>
      <fill>
        <patternFill patternType="none">
          <bgColor auto="1"/>
        </patternFill>
      </fill>
      <border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border>
        <lef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rgb="FFC2FB84"/>
      </font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2FB84"/>
      </font>
    </dxf>
    <dxf>
      <font>
        <color theme="0"/>
      </font>
      <fill>
        <patternFill>
          <fgColor theme="0"/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fgColor theme="0"/>
        </patternFill>
      </fill>
      <border>
        <left/>
        <right/>
        <bottom/>
      </border>
    </dxf>
    <dxf>
      <font>
        <color theme="0"/>
      </font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ill>
        <patternFill>
          <bgColor theme="0"/>
        </patternFill>
      </fill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fgColor theme="0"/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fgColor theme="0"/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border>
        <vertical/>
        <horizontal/>
      </border>
    </dxf>
    <dxf>
      <font>
        <color theme="0" tint="-4.9989318521683403E-2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4.9989318521683403E-2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4.9989318521683403E-2"/>
      </font>
      <fill>
        <patternFill>
          <bgColor theme="0" tint="-0.14996795556505021"/>
        </patternFill>
      </fill>
      <border>
        <vertical/>
        <horizontal/>
      </border>
    </dxf>
    <dxf>
      <font>
        <color theme="7" tint="0.79998168889431442"/>
      </font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7" tint="0.79998168889431442"/>
      </font>
    </dxf>
    <dxf>
      <font>
        <color theme="0"/>
      </font>
      <border>
        <left/>
        <right/>
        <bottom/>
        <vertical/>
        <horizontal/>
      </border>
    </dxf>
    <dxf>
      <font>
        <color theme="7" tint="0.79998168889431442"/>
      </font>
      <fill>
        <patternFill>
          <bgColor theme="7" tint="0.79998168889431442"/>
        </patternFill>
      </fill>
      <border>
        <vertical/>
        <horizontal/>
      </border>
    </dxf>
    <dxf>
      <font>
        <b/>
        <i val="0"/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24994659260841701"/>
        </patternFill>
      </fill>
      <border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>
          <bgColor theme="0" tint="-0.34998626667073579"/>
        </patternFill>
      </fill>
    </dxf>
    <dxf>
      <font>
        <color rgb="FF0070C0"/>
      </font>
      <fill>
        <patternFill>
          <bgColor theme="5"/>
        </patternFill>
      </fill>
      <border>
        <right style="thin">
          <color auto="1"/>
        </right>
        <top style="thin">
          <color auto="1"/>
        </top>
        <vertical/>
        <horizontal/>
      </border>
    </dxf>
    <dxf>
      <font>
        <color theme="0" tint="-0.24994659260841701"/>
      </font>
      <fill>
        <patternFill>
          <bgColor theme="0" tint="-0.34998626667073579"/>
        </patternFill>
      </fill>
    </dxf>
    <dxf>
      <font>
        <color rgb="FF0070C0"/>
      </font>
      <fill>
        <patternFill>
          <bgColor theme="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bgColor theme="0" tint="-0.24994659260841701"/>
        </patternFill>
      </fill>
    </dxf>
    <dxf>
      <fill>
        <patternFill>
          <fgColor theme="0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 style="thin">
          <color auto="1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bottom/>
        <vertical/>
        <horizontal/>
      </border>
    </dxf>
    <dxf>
      <font>
        <color theme="0" tint="-0.14996795556505021"/>
      </font>
      <fill>
        <patternFill>
          <fgColor theme="0"/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  <border>
        <left/>
        <top/>
        <bottom/>
        <vertical/>
        <horizontal/>
      </border>
    </dxf>
    <dxf>
      <font>
        <color theme="0" tint="-0.14996795556505021"/>
      </font>
      <fill>
        <patternFill>
          <bgColor theme="0" tint="-0.2499465926084170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</dxf>
    <dxf>
      <font>
        <color auto="1"/>
      </font>
    </dxf>
    <dxf>
      <font>
        <color theme="0"/>
      </font>
      <fill>
        <patternFill>
          <f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ECFF"/>
      <color rgb="FF99CCFF"/>
      <color rgb="FFC2FB84"/>
      <color rgb="FFFBFD95"/>
      <color rgb="FFFF33CC"/>
      <color rgb="FFFFF4CA"/>
      <color rgb="FFFFFFCC"/>
      <color rgb="FFFFFF99"/>
      <color rgb="FFFBF7A7"/>
      <color rgb="FFE7F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70</xdr:row>
      <xdr:rowOff>152400</xdr:rowOff>
    </xdr:from>
    <xdr:to>
      <xdr:col>4</xdr:col>
      <xdr:colOff>2752725</xdr:colOff>
      <xdr:row>73</xdr:row>
      <xdr:rowOff>86001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20831175"/>
          <a:ext cx="2724150" cy="924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31</xdr:row>
      <xdr:rowOff>19050</xdr:rowOff>
    </xdr:from>
    <xdr:to>
      <xdr:col>8</xdr:col>
      <xdr:colOff>323850</xdr:colOff>
      <xdr:row>31</xdr:row>
      <xdr:rowOff>64769</xdr:rowOff>
    </xdr:to>
    <xdr:sp macro="" textlink="">
      <xdr:nvSpPr>
        <xdr:cNvPr id="2" name="Pfeil nach link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3077825" y="10487025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161925</xdr:colOff>
      <xdr:row>32</xdr:row>
      <xdr:rowOff>19050</xdr:rowOff>
    </xdr:from>
    <xdr:to>
      <xdr:col>8</xdr:col>
      <xdr:colOff>333375</xdr:colOff>
      <xdr:row>32</xdr:row>
      <xdr:rowOff>64769</xdr:rowOff>
    </xdr:to>
    <xdr:sp macro="" textlink="">
      <xdr:nvSpPr>
        <xdr:cNvPr id="3" name="Pfeil nach links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087350" y="10648950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152400</xdr:colOff>
      <xdr:row>33</xdr:row>
      <xdr:rowOff>28575</xdr:rowOff>
    </xdr:from>
    <xdr:to>
      <xdr:col>8</xdr:col>
      <xdr:colOff>323850</xdr:colOff>
      <xdr:row>33</xdr:row>
      <xdr:rowOff>74294</xdr:rowOff>
    </xdr:to>
    <xdr:sp macro="" textlink="">
      <xdr:nvSpPr>
        <xdr:cNvPr id="4" name="Pfeil nach links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3077825" y="10820400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171450</xdr:colOff>
      <xdr:row>34</xdr:row>
      <xdr:rowOff>19050</xdr:rowOff>
    </xdr:from>
    <xdr:to>
      <xdr:col>8</xdr:col>
      <xdr:colOff>342900</xdr:colOff>
      <xdr:row>34</xdr:row>
      <xdr:rowOff>64769</xdr:rowOff>
    </xdr:to>
    <xdr:sp macro="" textlink="">
      <xdr:nvSpPr>
        <xdr:cNvPr id="5" name="Pfeil nach links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3096875" y="10972800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536503</xdr:colOff>
      <xdr:row>133</xdr:row>
      <xdr:rowOff>160280</xdr:rowOff>
    </xdr:from>
    <xdr:to>
      <xdr:col>0</xdr:col>
      <xdr:colOff>1261747</xdr:colOff>
      <xdr:row>135</xdr:row>
      <xdr:rowOff>32124</xdr:rowOff>
    </xdr:to>
    <xdr:sp macro="" textlink="">
      <xdr:nvSpPr>
        <xdr:cNvPr id="6" name="Pfeil nach rechts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1463577">
          <a:off x="536503" y="26916005"/>
          <a:ext cx="725244" cy="2337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6</xdr:col>
      <xdr:colOff>1027368</xdr:colOff>
      <xdr:row>49</xdr:row>
      <xdr:rowOff>66676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1E24B3C-3165-5EFE-E578-5E250AA17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19125"/>
          <a:ext cx="5856543" cy="82200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180974</xdr:rowOff>
    </xdr:from>
    <xdr:to>
      <xdr:col>6</xdr:col>
      <xdr:colOff>1000125</xdr:colOff>
      <xdr:row>101</xdr:row>
      <xdr:rowOff>102961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A421B43-11FC-47B9-FCF5-793EC465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10039349"/>
          <a:ext cx="5829300" cy="82468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180974</xdr:rowOff>
    </xdr:from>
    <xdr:to>
      <xdr:col>7</xdr:col>
      <xdr:colOff>1353</xdr:colOff>
      <xdr:row>154</xdr:row>
      <xdr:rowOff>114299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C1115DC-24B1-6CD4-EA99-AD90271B2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9631024"/>
          <a:ext cx="5868753" cy="8258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180974</xdr:rowOff>
    </xdr:from>
    <xdr:to>
      <xdr:col>7</xdr:col>
      <xdr:colOff>1619</xdr:colOff>
      <xdr:row>207</xdr:row>
      <xdr:rowOff>142875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C88756E-99C4-1E8C-463E-EC836ADD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" y="29222699"/>
          <a:ext cx="5878544" cy="8286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7</xdr:col>
      <xdr:colOff>0</xdr:colOff>
      <xdr:row>260</xdr:row>
      <xdr:rowOff>116669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4E33DD2-EF6B-A321-0AC6-DE2870CC7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800" y="38814375"/>
          <a:ext cx="5867400" cy="8260544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268</xdr:row>
      <xdr:rowOff>0</xdr:rowOff>
    </xdr:from>
    <xdr:to>
      <xdr:col>7</xdr:col>
      <xdr:colOff>2716</xdr:colOff>
      <xdr:row>313</xdr:row>
      <xdr:rowOff>142875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B0F5940-133E-5017-7488-53465A04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799" y="48406050"/>
          <a:ext cx="5860592" cy="8286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373</xdr:row>
      <xdr:rowOff>180974</xdr:rowOff>
    </xdr:from>
    <xdr:to>
      <xdr:col>7</xdr:col>
      <xdr:colOff>0</xdr:colOff>
      <xdr:row>419</xdr:row>
      <xdr:rowOff>127165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48D5C49-784A-DAD7-A996-FFD05B55C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" y="67589399"/>
          <a:ext cx="5753100" cy="8271041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426</xdr:row>
      <xdr:rowOff>180974</xdr:rowOff>
    </xdr:from>
    <xdr:to>
      <xdr:col>6</xdr:col>
      <xdr:colOff>1028699</xdr:colOff>
      <xdr:row>472</xdr:row>
      <xdr:rowOff>165969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4D0A419F-6EC4-461B-762D-E032183AD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4799" y="77181074"/>
          <a:ext cx="5876925" cy="8309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479</xdr:row>
      <xdr:rowOff>180974</xdr:rowOff>
    </xdr:from>
    <xdr:to>
      <xdr:col>7</xdr:col>
      <xdr:colOff>0</xdr:colOff>
      <xdr:row>525</xdr:row>
      <xdr:rowOff>152501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C6904E4-8C8E-0F3E-DC4D-D976FB3CE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800" y="86772749"/>
          <a:ext cx="5867400" cy="8296377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532</xdr:row>
      <xdr:rowOff>180974</xdr:rowOff>
    </xdr:from>
    <xdr:to>
      <xdr:col>6</xdr:col>
      <xdr:colOff>1028699</xdr:colOff>
      <xdr:row>578</xdr:row>
      <xdr:rowOff>139033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814047F1-7400-F08E-854E-CC1EE9D1A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4799" y="96364424"/>
          <a:ext cx="5857875" cy="8282909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47</xdr:row>
      <xdr:rowOff>114300</xdr:rowOff>
    </xdr:from>
    <xdr:to>
      <xdr:col>4</xdr:col>
      <xdr:colOff>228600</xdr:colOff>
      <xdr:row>48</xdr:row>
      <xdr:rowOff>133350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35DE934-63A4-4128-C2E7-E0AFD22ED1E8}"/>
            </a:ext>
          </a:extLst>
        </xdr:cNvPr>
        <xdr:cNvSpPr txBox="1"/>
      </xdr:nvSpPr>
      <xdr:spPr>
        <a:xfrm>
          <a:off x="2790825" y="8524875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247650</xdr:colOff>
      <xdr:row>99</xdr:row>
      <xdr:rowOff>85724</xdr:rowOff>
    </xdr:from>
    <xdr:to>
      <xdr:col>4</xdr:col>
      <xdr:colOff>190500</xdr:colOff>
      <xdr:row>100</xdr:row>
      <xdr:rowOff>104774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AB2CBDE-AF79-480B-8D65-920C59D5E4EA}"/>
            </a:ext>
          </a:extLst>
        </xdr:cNvPr>
        <xdr:cNvSpPr txBox="1"/>
      </xdr:nvSpPr>
      <xdr:spPr>
        <a:xfrm>
          <a:off x="2752725" y="17906999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276225</xdr:colOff>
      <xdr:row>152</xdr:row>
      <xdr:rowOff>95249</xdr:rowOff>
    </xdr:from>
    <xdr:to>
      <xdr:col>4</xdr:col>
      <xdr:colOff>219075</xdr:colOff>
      <xdr:row>153</xdr:row>
      <xdr:rowOff>114299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E1915CD-BFE0-4A72-BEE3-90E7DCC8328C}"/>
            </a:ext>
          </a:extLst>
        </xdr:cNvPr>
        <xdr:cNvSpPr txBox="1"/>
      </xdr:nvSpPr>
      <xdr:spPr>
        <a:xfrm>
          <a:off x="2781300" y="27508199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333375</xdr:colOff>
      <xdr:row>205</xdr:row>
      <xdr:rowOff>114299</xdr:rowOff>
    </xdr:from>
    <xdr:to>
      <xdr:col>4</xdr:col>
      <xdr:colOff>276225</xdr:colOff>
      <xdr:row>206</xdr:row>
      <xdr:rowOff>133349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AAE98C0-E730-4F78-A186-B2BE1585C10D}"/>
            </a:ext>
          </a:extLst>
        </xdr:cNvPr>
        <xdr:cNvSpPr txBox="1"/>
      </xdr:nvSpPr>
      <xdr:spPr>
        <a:xfrm>
          <a:off x="2838450" y="37118924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238125</xdr:colOff>
      <xdr:row>258</xdr:row>
      <xdr:rowOff>133350</xdr:rowOff>
    </xdr:from>
    <xdr:to>
      <xdr:col>4</xdr:col>
      <xdr:colOff>180975</xdr:colOff>
      <xdr:row>259</xdr:row>
      <xdr:rowOff>152400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B14F5F53-123C-495E-9290-14CA72A44017}"/>
            </a:ext>
          </a:extLst>
        </xdr:cNvPr>
        <xdr:cNvSpPr txBox="1"/>
      </xdr:nvSpPr>
      <xdr:spPr>
        <a:xfrm>
          <a:off x="2743200" y="46729650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380999</xdr:colOff>
      <xdr:row>311</xdr:row>
      <xdr:rowOff>133350</xdr:rowOff>
    </xdr:from>
    <xdr:to>
      <xdr:col>4</xdr:col>
      <xdr:colOff>323849</xdr:colOff>
      <xdr:row>312</xdr:row>
      <xdr:rowOff>152400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571D71C1-0C8D-45B8-A84B-02BF0EA03E10}"/>
            </a:ext>
          </a:extLst>
        </xdr:cNvPr>
        <xdr:cNvSpPr txBox="1"/>
      </xdr:nvSpPr>
      <xdr:spPr>
        <a:xfrm>
          <a:off x="2886074" y="56321325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304799</xdr:colOff>
      <xdr:row>364</xdr:row>
      <xdr:rowOff>133349</xdr:rowOff>
    </xdr:from>
    <xdr:to>
      <xdr:col>4</xdr:col>
      <xdr:colOff>247649</xdr:colOff>
      <xdr:row>365</xdr:row>
      <xdr:rowOff>152399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4BD78D25-C2E4-430D-B9A9-D5689750F9E0}"/>
            </a:ext>
          </a:extLst>
        </xdr:cNvPr>
        <xdr:cNvSpPr txBox="1"/>
      </xdr:nvSpPr>
      <xdr:spPr>
        <a:xfrm>
          <a:off x="2809874" y="65912999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219075</xdr:colOff>
      <xdr:row>417</xdr:row>
      <xdr:rowOff>104774</xdr:rowOff>
    </xdr:from>
    <xdr:to>
      <xdr:col>4</xdr:col>
      <xdr:colOff>161925</xdr:colOff>
      <xdr:row>418</xdr:row>
      <xdr:rowOff>123824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C38E016F-919C-4A7D-BEFB-A9C2556C77EC}"/>
            </a:ext>
          </a:extLst>
        </xdr:cNvPr>
        <xdr:cNvSpPr txBox="1"/>
      </xdr:nvSpPr>
      <xdr:spPr>
        <a:xfrm>
          <a:off x="2724150" y="75476099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285749</xdr:colOff>
      <xdr:row>471</xdr:row>
      <xdr:rowOff>38099</xdr:rowOff>
    </xdr:from>
    <xdr:to>
      <xdr:col>4</xdr:col>
      <xdr:colOff>228599</xdr:colOff>
      <xdr:row>472</xdr:row>
      <xdr:rowOff>57149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F2A7FCE3-4CA0-4415-B929-386679A8E429}"/>
            </a:ext>
          </a:extLst>
        </xdr:cNvPr>
        <xdr:cNvSpPr txBox="1"/>
      </xdr:nvSpPr>
      <xdr:spPr>
        <a:xfrm>
          <a:off x="2790824" y="85182074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285750</xdr:colOff>
      <xdr:row>523</xdr:row>
      <xdr:rowOff>114299</xdr:rowOff>
    </xdr:from>
    <xdr:to>
      <xdr:col>4</xdr:col>
      <xdr:colOff>228600</xdr:colOff>
      <xdr:row>524</xdr:row>
      <xdr:rowOff>133349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6E40B6B9-A83A-4729-A69B-691CCE6F0E26}"/>
            </a:ext>
          </a:extLst>
        </xdr:cNvPr>
        <xdr:cNvSpPr txBox="1"/>
      </xdr:nvSpPr>
      <xdr:spPr>
        <a:xfrm>
          <a:off x="2790825" y="94668974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304799</xdr:colOff>
      <xdr:row>576</xdr:row>
      <xdr:rowOff>104774</xdr:rowOff>
    </xdr:from>
    <xdr:to>
      <xdr:col>4</xdr:col>
      <xdr:colOff>247649</xdr:colOff>
      <xdr:row>577</xdr:row>
      <xdr:rowOff>123824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E33176A-E729-4946-8BE9-93DE3299E400}"/>
            </a:ext>
          </a:extLst>
        </xdr:cNvPr>
        <xdr:cNvSpPr txBox="1"/>
      </xdr:nvSpPr>
      <xdr:spPr>
        <a:xfrm>
          <a:off x="2809874" y="104251124"/>
          <a:ext cx="7810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oneCell">
    <xdr:from>
      <xdr:col>1</xdr:col>
      <xdr:colOff>1</xdr:colOff>
      <xdr:row>321</xdr:row>
      <xdr:rowOff>1</xdr:rowOff>
    </xdr:from>
    <xdr:to>
      <xdr:col>7</xdr:col>
      <xdr:colOff>10021</xdr:colOff>
      <xdr:row>365</xdr:row>
      <xdr:rowOff>171451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F81CF5C-AAB7-BA4A-7AC2-C713B3D9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276" y="57997726"/>
          <a:ext cx="5763120" cy="813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41</xdr:row>
          <xdr:rowOff>38100</xdr:rowOff>
        </xdr:from>
        <xdr:to>
          <xdr:col>9</xdr:col>
          <xdr:colOff>66675</xdr:colOff>
          <xdr:row>43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48</xdr:row>
          <xdr:rowOff>133350</xdr:rowOff>
        </xdr:from>
        <xdr:to>
          <xdr:col>12</xdr:col>
          <xdr:colOff>485775</xdr:colOff>
          <xdr:row>50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10</xdr:row>
      <xdr:rowOff>171450</xdr:rowOff>
    </xdr:from>
    <xdr:to>
      <xdr:col>17</xdr:col>
      <xdr:colOff>828675</xdr:colOff>
      <xdr:row>27</xdr:row>
      <xdr:rowOff>114300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EAF80A5-B698-68F4-2DF8-C0AB5BDD6B28}"/>
            </a:ext>
          </a:extLst>
        </xdr:cNvPr>
        <xdr:cNvSpPr txBox="1"/>
      </xdr:nvSpPr>
      <xdr:spPr>
        <a:xfrm>
          <a:off x="3400425" y="1819275"/>
          <a:ext cx="7086600" cy="328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TAB wird nur ausgeblendet und für zukünftige Steigerungen der</a:t>
          </a:r>
          <a:r>
            <a:rPr lang="de-DE" sz="1100" baseline="0">
              <a:solidFill>
                <a:srgbClr val="FF0000"/>
              </a:solidFill>
            </a:rPr>
            <a:t> Leistungsbeträge vorgehalten! Bi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AOKPLUS">
  <a:themeElements>
    <a:clrScheme name="AOK PLUS">
      <a:dk1>
        <a:sysClr val="windowText" lastClr="000000"/>
      </a:dk1>
      <a:lt1>
        <a:sysClr val="window" lastClr="FFFFFF"/>
      </a:lt1>
      <a:dk2>
        <a:srgbClr val="029646"/>
      </a:dk2>
      <a:lt2>
        <a:srgbClr val="EEECE1"/>
      </a:lt2>
      <a:accent1>
        <a:srgbClr val="CFE8B5"/>
      </a:accent1>
      <a:accent2>
        <a:srgbClr val="FDCA00"/>
      </a:accent2>
      <a:accent3>
        <a:srgbClr val="66BA06"/>
      </a:accent3>
      <a:accent4>
        <a:srgbClr val="EC540B"/>
      </a:accent4>
      <a:accent5>
        <a:srgbClr val="A0C013"/>
      </a:accent5>
      <a:accent6>
        <a:srgbClr val="B0B0B0"/>
      </a:accent6>
      <a:hlink>
        <a:srgbClr val="0000FF"/>
      </a:hlink>
      <a:folHlink>
        <a:srgbClr val="800080"/>
      </a:folHlink>
    </a:clrScheme>
    <a:fontScheme name="Executi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verguetung-pflege.sac@vdek.de" TargetMode="External"/><Relationship Id="rId2" Type="http://schemas.openxmlformats.org/officeDocument/2006/relationships/hyperlink" Target="mailto:pflegesatzverhandlungen_sachsen@plus.aok.de" TargetMode="External"/><Relationship Id="rId1" Type="http://schemas.openxmlformats.org/officeDocument/2006/relationships/hyperlink" Target="mailto:vereinbarungen-pflege@ksv-sachsen.de" TargetMode="External"/><Relationship Id="rId6" Type="http://schemas.openxmlformats.org/officeDocument/2006/relationships/hyperlink" Target="mailto:alexander.bretschneider@barmer.de" TargetMode="External"/><Relationship Id="rId5" Type="http://schemas.openxmlformats.org/officeDocument/2006/relationships/hyperlink" Target="mailto:andre.kaden@barmer.de" TargetMode="External"/><Relationship Id="rId4" Type="http://schemas.openxmlformats.org/officeDocument/2006/relationships/hyperlink" Target="mailto:peter.hoeher@barmer.d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66"/>
  <sheetViews>
    <sheetView showGridLines="0" zoomScaleNormal="100" workbookViewId="0">
      <pane ySplit="5" topLeftCell="A356" activePane="bottomLeft" state="frozen"/>
      <selection pane="bottomLeft" activeCell="C366" sqref="C366"/>
    </sheetView>
  </sheetViews>
  <sheetFormatPr baseColWidth="10" defaultRowHeight="14.25" x14ac:dyDescent="0.2"/>
  <cols>
    <col min="1" max="1" width="10.625" style="195" customWidth="1"/>
    <col min="2" max="2" width="22.125" customWidth="1"/>
    <col min="3" max="3" width="35.625" customWidth="1"/>
    <col min="4" max="4" width="41.5" customWidth="1"/>
    <col min="5" max="5" width="39.375" customWidth="1"/>
  </cols>
  <sheetData>
    <row r="1" spans="1:5" x14ac:dyDescent="0.2">
      <c r="A1" s="660"/>
      <c r="B1" s="635"/>
      <c r="C1" s="635"/>
      <c r="D1" s="635"/>
      <c r="E1" s="635"/>
    </row>
    <row r="2" spans="1:5" ht="30" customHeight="1" x14ac:dyDescent="0.2">
      <c r="A2" s="1521" t="s">
        <v>588</v>
      </c>
      <c r="B2" s="1522"/>
      <c r="C2" s="1522"/>
      <c r="D2" s="1522"/>
      <c r="E2" s="1522"/>
    </row>
    <row r="3" spans="1:5" x14ac:dyDescent="0.2">
      <c r="A3" s="660"/>
      <c r="B3" s="635"/>
      <c r="C3" s="635"/>
      <c r="D3" s="635"/>
      <c r="E3" s="635"/>
    </row>
    <row r="5" spans="1:5" ht="25.5" x14ac:dyDescent="0.2">
      <c r="A5" s="636" t="s">
        <v>589</v>
      </c>
      <c r="B5" s="636" t="s">
        <v>590</v>
      </c>
      <c r="C5" s="636" t="s">
        <v>591</v>
      </c>
      <c r="D5" s="636" t="s">
        <v>592</v>
      </c>
      <c r="E5" s="636" t="s">
        <v>593</v>
      </c>
    </row>
    <row r="6" spans="1:5" ht="25.5" x14ac:dyDescent="0.2">
      <c r="A6" s="647">
        <v>44900</v>
      </c>
      <c r="B6" s="648" t="s">
        <v>594</v>
      </c>
      <c r="C6" s="648" t="s">
        <v>595</v>
      </c>
      <c r="D6" s="648" t="s">
        <v>596</v>
      </c>
      <c r="E6" s="649" t="s">
        <v>597</v>
      </c>
    </row>
    <row r="7" spans="1:5" x14ac:dyDescent="0.2">
      <c r="A7" s="661"/>
      <c r="B7" s="650" t="s">
        <v>598</v>
      </c>
      <c r="C7" s="650" t="s">
        <v>595</v>
      </c>
      <c r="D7" s="650"/>
      <c r="E7" s="650"/>
    </row>
    <row r="8" spans="1:5" x14ac:dyDescent="0.2">
      <c r="A8" s="661"/>
      <c r="B8" s="650" t="s">
        <v>600</v>
      </c>
      <c r="C8" s="650" t="s">
        <v>602</v>
      </c>
      <c r="D8" s="650" t="s">
        <v>601</v>
      </c>
      <c r="E8" s="650" t="s">
        <v>603</v>
      </c>
    </row>
    <row r="9" spans="1:5" x14ac:dyDescent="0.2">
      <c r="A9" s="661"/>
      <c r="B9" s="650" t="s">
        <v>600</v>
      </c>
      <c r="C9" s="650" t="s">
        <v>608</v>
      </c>
      <c r="D9" s="650" t="s">
        <v>604</v>
      </c>
      <c r="E9" s="650"/>
    </row>
    <row r="10" spans="1:5" x14ac:dyDescent="0.2">
      <c r="A10" s="661"/>
      <c r="B10" s="650" t="s">
        <v>600</v>
      </c>
      <c r="C10" s="650" t="s">
        <v>609</v>
      </c>
      <c r="D10" s="650" t="s">
        <v>605</v>
      </c>
      <c r="E10" s="650"/>
    </row>
    <row r="11" spans="1:5" x14ac:dyDescent="0.2">
      <c r="A11" s="661"/>
      <c r="B11" s="650" t="s">
        <v>600</v>
      </c>
      <c r="C11" s="650" t="s">
        <v>610</v>
      </c>
      <c r="D11" s="650" t="s">
        <v>606</v>
      </c>
      <c r="E11" s="650"/>
    </row>
    <row r="12" spans="1:5" x14ac:dyDescent="0.2">
      <c r="A12" s="661"/>
      <c r="B12" s="650" t="s">
        <v>600</v>
      </c>
      <c r="C12" s="650" t="s">
        <v>611</v>
      </c>
      <c r="D12" s="650" t="s">
        <v>607</v>
      </c>
      <c r="E12" s="650"/>
    </row>
    <row r="13" spans="1:5" ht="25.5" x14ac:dyDescent="0.2">
      <c r="A13" s="661"/>
      <c r="B13" s="650" t="s">
        <v>600</v>
      </c>
      <c r="C13" s="650" t="s">
        <v>612</v>
      </c>
      <c r="D13" s="651" t="s">
        <v>613</v>
      </c>
      <c r="E13" s="650"/>
    </row>
    <row r="14" spans="1:5" ht="25.5" x14ac:dyDescent="0.2">
      <c r="A14" s="661"/>
      <c r="B14" s="650" t="s">
        <v>600</v>
      </c>
      <c r="C14" s="650" t="s">
        <v>614</v>
      </c>
      <c r="D14" s="651" t="s">
        <v>615</v>
      </c>
      <c r="E14" s="650"/>
    </row>
    <row r="15" spans="1:5" x14ac:dyDescent="0.2">
      <c r="A15" s="661"/>
      <c r="B15" s="650" t="s">
        <v>600</v>
      </c>
      <c r="C15" s="650" t="s">
        <v>617</v>
      </c>
      <c r="D15" s="651" t="s">
        <v>616</v>
      </c>
      <c r="E15" s="650"/>
    </row>
    <row r="16" spans="1:5" x14ac:dyDescent="0.2">
      <c r="A16" s="661"/>
      <c r="B16" s="650" t="s">
        <v>600</v>
      </c>
      <c r="C16" s="650" t="s">
        <v>618</v>
      </c>
      <c r="D16" s="651" t="s">
        <v>616</v>
      </c>
      <c r="E16" s="650"/>
    </row>
    <row r="17" spans="1:5" ht="38.25" x14ac:dyDescent="0.2">
      <c r="A17" s="661"/>
      <c r="B17" s="650" t="s">
        <v>619</v>
      </c>
      <c r="C17" s="650" t="s">
        <v>620</v>
      </c>
      <c r="D17" s="651" t="s">
        <v>621</v>
      </c>
      <c r="E17" s="650"/>
    </row>
    <row r="18" spans="1:5" ht="63.75" x14ac:dyDescent="0.2">
      <c r="A18" s="661"/>
      <c r="B18" s="650" t="s">
        <v>622</v>
      </c>
      <c r="C18" s="650" t="s">
        <v>625</v>
      </c>
      <c r="D18" s="651" t="s">
        <v>624</v>
      </c>
      <c r="E18" s="651" t="s">
        <v>623</v>
      </c>
    </row>
    <row r="19" spans="1:5" ht="25.5" x14ac:dyDescent="0.2">
      <c r="A19" s="661"/>
      <c r="B19" s="650" t="s">
        <v>626</v>
      </c>
      <c r="C19" s="650" t="s">
        <v>627</v>
      </c>
      <c r="D19" s="651" t="s">
        <v>628</v>
      </c>
      <c r="E19" s="650" t="s">
        <v>629</v>
      </c>
    </row>
    <row r="20" spans="1:5" x14ac:dyDescent="0.2">
      <c r="A20" s="661"/>
      <c r="B20" s="650" t="s">
        <v>630</v>
      </c>
      <c r="C20" s="650" t="s">
        <v>631</v>
      </c>
      <c r="D20" s="650" t="s">
        <v>632</v>
      </c>
      <c r="E20" s="650" t="s">
        <v>633</v>
      </c>
    </row>
    <row r="21" spans="1:5" ht="25.5" x14ac:dyDescent="0.2">
      <c r="A21" s="661"/>
      <c r="B21" s="651" t="s">
        <v>679</v>
      </c>
      <c r="C21" s="651" t="s">
        <v>634</v>
      </c>
      <c r="D21" s="651" t="s">
        <v>661</v>
      </c>
      <c r="E21" s="650"/>
    </row>
    <row r="22" spans="1:5" ht="25.5" x14ac:dyDescent="0.2">
      <c r="A22" s="661"/>
      <c r="B22" s="651" t="s">
        <v>679</v>
      </c>
      <c r="C22" s="651" t="s">
        <v>635</v>
      </c>
      <c r="D22" s="651" t="s">
        <v>662</v>
      </c>
      <c r="E22" s="650"/>
    </row>
    <row r="23" spans="1:5" ht="25.5" x14ac:dyDescent="0.2">
      <c r="A23" s="661"/>
      <c r="B23" s="651" t="s">
        <v>679</v>
      </c>
      <c r="C23" s="651" t="s">
        <v>636</v>
      </c>
      <c r="D23" s="651" t="s">
        <v>663</v>
      </c>
      <c r="E23" s="650"/>
    </row>
    <row r="24" spans="1:5" ht="25.5" x14ac:dyDescent="0.2">
      <c r="A24" s="661"/>
      <c r="B24" s="651" t="s">
        <v>679</v>
      </c>
      <c r="C24" s="651" t="s">
        <v>637</v>
      </c>
      <c r="D24" s="651" t="s">
        <v>664</v>
      </c>
      <c r="E24" s="650"/>
    </row>
    <row r="25" spans="1:5" ht="25.5" x14ac:dyDescent="0.2">
      <c r="A25" s="661"/>
      <c r="B25" s="651" t="s">
        <v>679</v>
      </c>
      <c r="C25" s="651" t="s">
        <v>638</v>
      </c>
      <c r="D25" s="651" t="s">
        <v>665</v>
      </c>
      <c r="E25" s="650"/>
    </row>
    <row r="26" spans="1:5" ht="25.5" x14ac:dyDescent="0.2">
      <c r="A26" s="661"/>
      <c r="B26" s="651" t="s">
        <v>679</v>
      </c>
      <c r="C26" s="651" t="s">
        <v>639</v>
      </c>
      <c r="D26" s="651" t="s">
        <v>666</v>
      </c>
      <c r="E26" s="650"/>
    </row>
    <row r="27" spans="1:5" ht="25.5" x14ac:dyDescent="0.2">
      <c r="A27" s="661"/>
      <c r="B27" s="651" t="s">
        <v>679</v>
      </c>
      <c r="C27" s="651" t="s">
        <v>640</v>
      </c>
      <c r="D27" s="651" t="s">
        <v>667</v>
      </c>
      <c r="E27" s="650"/>
    </row>
    <row r="28" spans="1:5" ht="25.5" x14ac:dyDescent="0.2">
      <c r="A28" s="661"/>
      <c r="B28" s="651" t="s">
        <v>679</v>
      </c>
      <c r="C28" s="651" t="s">
        <v>641</v>
      </c>
      <c r="D28" s="651" t="s">
        <v>669</v>
      </c>
      <c r="E28" s="650"/>
    </row>
    <row r="29" spans="1:5" ht="25.5" x14ac:dyDescent="0.2">
      <c r="A29" s="661"/>
      <c r="B29" s="651" t="s">
        <v>679</v>
      </c>
      <c r="C29" s="651" t="s">
        <v>642</v>
      </c>
      <c r="D29" s="651" t="s">
        <v>668</v>
      </c>
      <c r="E29" s="650"/>
    </row>
    <row r="30" spans="1:5" ht="25.5" x14ac:dyDescent="0.2">
      <c r="A30" s="661"/>
      <c r="B30" s="651" t="s">
        <v>679</v>
      </c>
      <c r="C30" s="651" t="s">
        <v>643</v>
      </c>
      <c r="D30" s="651" t="s">
        <v>670</v>
      </c>
      <c r="E30" s="650"/>
    </row>
    <row r="31" spans="1:5" x14ac:dyDescent="0.2">
      <c r="A31" s="661"/>
      <c r="B31" s="651" t="s">
        <v>679</v>
      </c>
      <c r="C31" s="650" t="s">
        <v>644</v>
      </c>
      <c r="D31" s="650" t="s">
        <v>645</v>
      </c>
      <c r="E31" s="650"/>
    </row>
    <row r="32" spans="1:5" ht="25.5" x14ac:dyDescent="0.2">
      <c r="A32" s="661"/>
      <c r="B32" s="651" t="s">
        <v>679</v>
      </c>
      <c r="C32" s="651" t="s">
        <v>646</v>
      </c>
      <c r="D32" s="651" t="s">
        <v>647</v>
      </c>
      <c r="E32" s="650"/>
    </row>
    <row r="33" spans="1:5" ht="25.5" x14ac:dyDescent="0.2">
      <c r="A33" s="661"/>
      <c r="B33" s="651" t="s">
        <v>679</v>
      </c>
      <c r="C33" s="651" t="s">
        <v>648</v>
      </c>
      <c r="D33" s="651" t="s">
        <v>671</v>
      </c>
      <c r="E33" s="650"/>
    </row>
    <row r="34" spans="1:5" ht="25.5" x14ac:dyDescent="0.2">
      <c r="A34" s="661"/>
      <c r="B34" s="651" t="s">
        <v>679</v>
      </c>
      <c r="C34" s="651" t="s">
        <v>649</v>
      </c>
      <c r="D34" s="651" t="s">
        <v>672</v>
      </c>
      <c r="E34" s="650"/>
    </row>
    <row r="35" spans="1:5" ht="25.5" x14ac:dyDescent="0.2">
      <c r="A35" s="661"/>
      <c r="B35" s="651" t="s">
        <v>679</v>
      </c>
      <c r="C35" s="651" t="s">
        <v>650</v>
      </c>
      <c r="D35" s="651" t="s">
        <v>673</v>
      </c>
      <c r="E35" s="650"/>
    </row>
    <row r="36" spans="1:5" ht="25.5" x14ac:dyDescent="0.2">
      <c r="A36" s="661"/>
      <c r="B36" s="651" t="s">
        <v>679</v>
      </c>
      <c r="C36" s="651" t="s">
        <v>651</v>
      </c>
      <c r="D36" s="651" t="s">
        <v>674</v>
      </c>
      <c r="E36" s="650"/>
    </row>
    <row r="37" spans="1:5" ht="25.5" x14ac:dyDescent="0.2">
      <c r="A37" s="661"/>
      <c r="B37" s="651" t="s">
        <v>679</v>
      </c>
      <c r="C37" s="651" t="s">
        <v>652</v>
      </c>
      <c r="D37" s="651" t="s">
        <v>675</v>
      </c>
      <c r="E37" s="650"/>
    </row>
    <row r="38" spans="1:5" ht="25.5" x14ac:dyDescent="0.2">
      <c r="A38" s="661"/>
      <c r="B38" s="651" t="s">
        <v>679</v>
      </c>
      <c r="C38" s="651" t="s">
        <v>653</v>
      </c>
      <c r="D38" s="651" t="s">
        <v>676</v>
      </c>
      <c r="E38" s="650"/>
    </row>
    <row r="39" spans="1:5" x14ac:dyDescent="0.2">
      <c r="A39" s="661"/>
      <c r="B39" s="651" t="s">
        <v>679</v>
      </c>
      <c r="C39" s="651" t="s">
        <v>654</v>
      </c>
      <c r="D39" s="651" t="s">
        <v>655</v>
      </c>
      <c r="E39" s="650"/>
    </row>
    <row r="40" spans="1:5" x14ac:dyDescent="0.2">
      <c r="A40" s="661"/>
      <c r="B40" s="651" t="s">
        <v>679</v>
      </c>
      <c r="C40" s="651" t="s">
        <v>656</v>
      </c>
      <c r="D40" s="651" t="s">
        <v>657</v>
      </c>
      <c r="E40" s="650"/>
    </row>
    <row r="41" spans="1:5" x14ac:dyDescent="0.2">
      <c r="A41" s="661"/>
      <c r="B41" s="651" t="s">
        <v>679</v>
      </c>
      <c r="C41" s="651" t="s">
        <v>658</v>
      </c>
      <c r="D41" s="651" t="s">
        <v>659</v>
      </c>
      <c r="E41" s="650"/>
    </row>
    <row r="42" spans="1:5" ht="38.25" x14ac:dyDescent="0.2">
      <c r="A42" s="662"/>
      <c r="B42" s="652" t="s">
        <v>679</v>
      </c>
      <c r="C42" s="652" t="s">
        <v>649</v>
      </c>
      <c r="D42" s="652" t="s">
        <v>660</v>
      </c>
      <c r="E42" s="653"/>
    </row>
    <row r="43" spans="1:5" x14ac:dyDescent="0.2">
      <c r="A43" s="647">
        <v>44901</v>
      </c>
      <c r="B43" s="649" t="s">
        <v>600</v>
      </c>
      <c r="C43" s="649" t="s">
        <v>677</v>
      </c>
      <c r="D43" s="649" t="s">
        <v>678</v>
      </c>
      <c r="E43" s="648"/>
    </row>
    <row r="44" spans="1:5" ht="25.5" x14ac:dyDescent="0.2">
      <c r="A44" s="661"/>
      <c r="B44" s="651" t="s">
        <v>619</v>
      </c>
      <c r="C44" s="651" t="s">
        <v>680</v>
      </c>
      <c r="D44" s="651" t="s">
        <v>681</v>
      </c>
      <c r="E44" s="650"/>
    </row>
    <row r="45" spans="1:5" ht="38.25" x14ac:dyDescent="0.2">
      <c r="A45" s="662"/>
      <c r="B45" s="652" t="s">
        <v>683</v>
      </c>
      <c r="C45" s="652" t="s">
        <v>682</v>
      </c>
      <c r="D45" s="652" t="s">
        <v>684</v>
      </c>
      <c r="E45" s="653"/>
    </row>
    <row r="46" spans="1:5" x14ac:dyDescent="0.2">
      <c r="A46" s="647">
        <v>44904</v>
      </c>
      <c r="B46" s="655" t="s">
        <v>619</v>
      </c>
      <c r="C46" s="655" t="s">
        <v>687</v>
      </c>
      <c r="D46" s="655" t="s">
        <v>688</v>
      </c>
      <c r="E46" s="656"/>
    </row>
    <row r="47" spans="1:5" ht="25.5" x14ac:dyDescent="0.2">
      <c r="A47" s="662"/>
      <c r="B47" s="657" t="s">
        <v>685</v>
      </c>
      <c r="C47" s="657"/>
      <c r="D47" s="657" t="s">
        <v>686</v>
      </c>
      <c r="E47" s="658"/>
    </row>
    <row r="48" spans="1:5" ht="51" x14ac:dyDescent="0.2">
      <c r="A48" s="663">
        <v>44907</v>
      </c>
      <c r="B48" s="657" t="s">
        <v>685</v>
      </c>
      <c r="C48" s="654" t="s">
        <v>689</v>
      </c>
      <c r="D48" s="654" t="s">
        <v>690</v>
      </c>
      <c r="E48" s="654" t="s">
        <v>691</v>
      </c>
    </row>
    <row r="49" spans="1:5" ht="25.5" x14ac:dyDescent="0.2">
      <c r="A49" s="664">
        <v>44910</v>
      </c>
      <c r="B49" s="654" t="s">
        <v>630</v>
      </c>
      <c r="C49" s="654" t="s">
        <v>692</v>
      </c>
      <c r="D49" s="654" t="s">
        <v>693</v>
      </c>
      <c r="E49" s="659"/>
    </row>
    <row r="50" spans="1:5" x14ac:dyDescent="0.2">
      <c r="A50" s="647">
        <v>45056</v>
      </c>
      <c r="B50" s="649" t="s">
        <v>696</v>
      </c>
      <c r="C50" s="649" t="s">
        <v>697</v>
      </c>
      <c r="D50" s="648"/>
      <c r="E50" s="648"/>
    </row>
    <row r="51" spans="1:5" x14ac:dyDescent="0.2">
      <c r="A51" s="661"/>
      <c r="B51" s="651" t="s">
        <v>696</v>
      </c>
      <c r="C51" s="651" t="s">
        <v>698</v>
      </c>
      <c r="D51" s="651" t="s">
        <v>694</v>
      </c>
      <c r="E51" s="650"/>
    </row>
    <row r="52" spans="1:5" ht="25.5" x14ac:dyDescent="0.2">
      <c r="A52" s="661"/>
      <c r="B52" s="651" t="s">
        <v>696</v>
      </c>
      <c r="C52" s="651" t="s">
        <v>699</v>
      </c>
      <c r="D52" s="651" t="s">
        <v>700</v>
      </c>
      <c r="E52" s="650"/>
    </row>
    <row r="53" spans="1:5" ht="25.5" x14ac:dyDescent="0.2">
      <c r="A53" s="661"/>
      <c r="B53" s="651" t="s">
        <v>701</v>
      </c>
      <c r="C53" s="651" t="s">
        <v>702</v>
      </c>
      <c r="D53" s="651" t="s">
        <v>705</v>
      </c>
      <c r="E53" s="650"/>
    </row>
    <row r="54" spans="1:5" ht="38.25" x14ac:dyDescent="0.2">
      <c r="A54" s="661"/>
      <c r="B54" s="651" t="s">
        <v>701</v>
      </c>
      <c r="C54" s="651" t="s">
        <v>703</v>
      </c>
      <c r="D54" s="651" t="s">
        <v>704</v>
      </c>
      <c r="E54" s="650"/>
    </row>
    <row r="55" spans="1:5" ht="25.5" x14ac:dyDescent="0.2">
      <c r="A55" s="661"/>
      <c r="B55" s="651" t="s">
        <v>701</v>
      </c>
      <c r="C55" s="651" t="s">
        <v>706</v>
      </c>
      <c r="D55" s="651" t="s">
        <v>707</v>
      </c>
      <c r="E55" s="650"/>
    </row>
    <row r="56" spans="1:5" ht="38.25" x14ac:dyDescent="0.2">
      <c r="A56" s="662"/>
      <c r="B56" s="652" t="s">
        <v>701</v>
      </c>
      <c r="C56" s="652" t="s">
        <v>708</v>
      </c>
      <c r="D56" s="652" t="s">
        <v>709</v>
      </c>
      <c r="E56" s="653"/>
    </row>
    <row r="57" spans="1:5" ht="25.5" x14ac:dyDescent="0.2">
      <c r="A57" s="647">
        <v>45062</v>
      </c>
      <c r="B57" s="649" t="s">
        <v>696</v>
      </c>
      <c r="C57" s="649" t="s">
        <v>698</v>
      </c>
      <c r="D57" s="649" t="s">
        <v>711</v>
      </c>
      <c r="E57" s="649" t="s">
        <v>712</v>
      </c>
    </row>
    <row r="58" spans="1:5" ht="25.5" x14ac:dyDescent="0.2">
      <c r="A58" s="661"/>
      <c r="B58" s="651" t="s">
        <v>696</v>
      </c>
      <c r="C58" s="651" t="s">
        <v>714</v>
      </c>
      <c r="D58" s="651" t="s">
        <v>713</v>
      </c>
      <c r="E58" s="650"/>
    </row>
    <row r="59" spans="1:5" ht="25.5" x14ac:dyDescent="0.2">
      <c r="A59" s="661"/>
      <c r="B59" s="651" t="s">
        <v>696</v>
      </c>
      <c r="C59" s="651" t="s">
        <v>716</v>
      </c>
      <c r="D59" s="651" t="s">
        <v>753</v>
      </c>
      <c r="E59" s="650"/>
    </row>
    <row r="60" spans="1:5" x14ac:dyDescent="0.2">
      <c r="A60" s="661"/>
      <c r="B60" s="651" t="s">
        <v>696</v>
      </c>
      <c r="C60" s="651" t="s">
        <v>715</v>
      </c>
      <c r="D60" s="651" t="s">
        <v>717</v>
      </c>
      <c r="E60" s="650"/>
    </row>
    <row r="61" spans="1:5" x14ac:dyDescent="0.2">
      <c r="A61" s="661"/>
      <c r="B61" s="651" t="s">
        <v>600</v>
      </c>
      <c r="C61" s="651" t="s">
        <v>617</v>
      </c>
      <c r="D61" s="650" t="s">
        <v>719</v>
      </c>
      <c r="E61" s="650"/>
    </row>
    <row r="62" spans="1:5" x14ac:dyDescent="0.2">
      <c r="A62" s="661"/>
      <c r="B62" s="651" t="s">
        <v>600</v>
      </c>
      <c r="C62" s="651" t="s">
        <v>720</v>
      </c>
      <c r="D62" s="650" t="s">
        <v>721</v>
      </c>
      <c r="E62" s="1523" t="s">
        <v>754</v>
      </c>
    </row>
    <row r="63" spans="1:5" x14ac:dyDescent="0.2">
      <c r="A63" s="661"/>
      <c r="B63" s="651" t="s">
        <v>600</v>
      </c>
      <c r="C63" s="651" t="s">
        <v>722</v>
      </c>
      <c r="D63" s="650" t="s">
        <v>723</v>
      </c>
      <c r="E63" s="1523"/>
    </row>
    <row r="64" spans="1:5" x14ac:dyDescent="0.2">
      <c r="A64" s="661"/>
      <c r="B64" s="651" t="s">
        <v>600</v>
      </c>
      <c r="C64" s="651" t="s">
        <v>724</v>
      </c>
      <c r="D64" s="650" t="s">
        <v>725</v>
      </c>
      <c r="E64" s="1523"/>
    </row>
    <row r="65" spans="1:5" x14ac:dyDescent="0.2">
      <c r="A65" s="661"/>
      <c r="B65" s="651" t="s">
        <v>600</v>
      </c>
      <c r="C65" s="651" t="s">
        <v>726</v>
      </c>
      <c r="D65" s="650" t="s">
        <v>727</v>
      </c>
      <c r="E65" s="650"/>
    </row>
    <row r="66" spans="1:5" ht="38.25" x14ac:dyDescent="0.2">
      <c r="A66" s="661"/>
      <c r="B66" s="651" t="s">
        <v>619</v>
      </c>
      <c r="C66" s="651" t="s">
        <v>620</v>
      </c>
      <c r="D66" s="651" t="s">
        <v>728</v>
      </c>
      <c r="E66" s="650"/>
    </row>
    <row r="67" spans="1:5" ht="25.5" x14ac:dyDescent="0.2">
      <c r="A67" s="661"/>
      <c r="B67" s="651" t="s">
        <v>679</v>
      </c>
      <c r="C67" s="651" t="s">
        <v>729</v>
      </c>
      <c r="D67" s="651" t="s">
        <v>730</v>
      </c>
      <c r="E67" s="650" t="s">
        <v>733</v>
      </c>
    </row>
    <row r="68" spans="1:5" ht="25.5" x14ac:dyDescent="0.2">
      <c r="A68" s="661"/>
      <c r="B68" s="651" t="s">
        <v>679</v>
      </c>
      <c r="C68" s="651" t="s">
        <v>703</v>
      </c>
      <c r="D68" s="651" t="s">
        <v>732</v>
      </c>
      <c r="E68" s="650" t="s">
        <v>733</v>
      </c>
    </row>
    <row r="69" spans="1:5" x14ac:dyDescent="0.2">
      <c r="A69" s="662"/>
      <c r="B69" s="652" t="s">
        <v>679</v>
      </c>
      <c r="C69" s="652" t="s">
        <v>703</v>
      </c>
      <c r="D69" s="652" t="s">
        <v>731</v>
      </c>
      <c r="E69" s="653" t="s">
        <v>733</v>
      </c>
    </row>
    <row r="70" spans="1:5" x14ac:dyDescent="0.2">
      <c r="A70" s="671">
        <v>45063</v>
      </c>
      <c r="B70" s="665" t="s">
        <v>696</v>
      </c>
      <c r="C70" s="665" t="s">
        <v>735</v>
      </c>
      <c r="D70" s="666" t="s">
        <v>734</v>
      </c>
      <c r="E70" s="666" t="s">
        <v>748</v>
      </c>
    </row>
    <row r="71" spans="1:5" ht="25.5" x14ac:dyDescent="0.2">
      <c r="A71" s="672"/>
      <c r="B71" s="667" t="s">
        <v>696</v>
      </c>
      <c r="C71" s="667" t="s">
        <v>736</v>
      </c>
      <c r="D71" s="667" t="s">
        <v>738</v>
      </c>
      <c r="E71" s="668" t="s">
        <v>737</v>
      </c>
    </row>
    <row r="72" spans="1:5" x14ac:dyDescent="0.2">
      <c r="A72" s="672"/>
      <c r="B72" s="667" t="s">
        <v>679</v>
      </c>
      <c r="C72" s="667" t="s">
        <v>702</v>
      </c>
      <c r="D72" s="668" t="s">
        <v>749</v>
      </c>
      <c r="E72" s="668"/>
    </row>
    <row r="73" spans="1:5" ht="38.25" x14ac:dyDescent="0.2">
      <c r="A73" s="672"/>
      <c r="B73" s="667" t="s">
        <v>679</v>
      </c>
      <c r="C73" s="667" t="s">
        <v>739</v>
      </c>
      <c r="D73" s="667" t="s">
        <v>740</v>
      </c>
      <c r="E73" s="668"/>
    </row>
    <row r="74" spans="1:5" x14ac:dyDescent="0.2">
      <c r="A74" s="672"/>
      <c r="B74" s="667" t="s">
        <v>679</v>
      </c>
      <c r="C74" s="667" t="s">
        <v>744</v>
      </c>
      <c r="D74" s="668" t="s">
        <v>745</v>
      </c>
      <c r="E74" s="668"/>
    </row>
    <row r="75" spans="1:5" ht="25.5" x14ac:dyDescent="0.2">
      <c r="A75" s="672"/>
      <c r="B75" s="667" t="s">
        <v>679</v>
      </c>
      <c r="C75" s="667" t="s">
        <v>708</v>
      </c>
      <c r="D75" s="668" t="s">
        <v>746</v>
      </c>
      <c r="E75" s="667" t="s">
        <v>750</v>
      </c>
    </row>
    <row r="76" spans="1:5" x14ac:dyDescent="0.2">
      <c r="A76" s="672"/>
      <c r="B76" s="667" t="s">
        <v>679</v>
      </c>
      <c r="C76" s="667" t="s">
        <v>729</v>
      </c>
      <c r="D76" s="667" t="s">
        <v>741</v>
      </c>
      <c r="E76" s="668" t="s">
        <v>747</v>
      </c>
    </row>
    <row r="77" spans="1:5" ht="25.5" x14ac:dyDescent="0.2">
      <c r="A77" s="672"/>
      <c r="B77" s="667" t="s">
        <v>679</v>
      </c>
      <c r="C77" s="667" t="s">
        <v>729</v>
      </c>
      <c r="D77" s="667" t="s">
        <v>742</v>
      </c>
      <c r="E77" s="668"/>
    </row>
    <row r="78" spans="1:5" x14ac:dyDescent="0.2">
      <c r="A78" s="672"/>
      <c r="B78" s="667" t="s">
        <v>679</v>
      </c>
      <c r="C78" s="667" t="s">
        <v>729</v>
      </c>
      <c r="D78" s="667" t="s">
        <v>743</v>
      </c>
      <c r="E78" s="668"/>
    </row>
    <row r="79" spans="1:5" ht="25.5" x14ac:dyDescent="0.2">
      <c r="A79" s="673"/>
      <c r="B79" s="669" t="s">
        <v>679</v>
      </c>
      <c r="C79" s="669" t="s">
        <v>729</v>
      </c>
      <c r="D79" s="669" t="s">
        <v>751</v>
      </c>
      <c r="E79" s="670" t="s">
        <v>752</v>
      </c>
    </row>
    <row r="80" spans="1:5" ht="63.75" x14ac:dyDescent="0.2">
      <c r="A80" s="664">
        <v>45068</v>
      </c>
      <c r="B80" s="675" t="s">
        <v>622</v>
      </c>
      <c r="C80" s="675" t="s">
        <v>756</v>
      </c>
      <c r="D80" s="675" t="s">
        <v>757</v>
      </c>
      <c r="E80" s="659"/>
    </row>
    <row r="81" spans="1:5" ht="25.5" x14ac:dyDescent="0.2">
      <c r="A81" s="1528">
        <v>45082</v>
      </c>
      <c r="B81" s="1530" t="s">
        <v>696</v>
      </c>
      <c r="C81" s="1524" t="s">
        <v>759</v>
      </c>
      <c r="D81" s="677" t="s">
        <v>758</v>
      </c>
      <c r="E81" s="1535" t="s">
        <v>796</v>
      </c>
    </row>
    <row r="82" spans="1:5" ht="25.5" x14ac:dyDescent="0.2">
      <c r="A82" s="1529"/>
      <c r="B82" s="1531"/>
      <c r="C82" s="1525"/>
      <c r="D82" s="678" t="s">
        <v>760</v>
      </c>
      <c r="E82" s="1536"/>
    </row>
    <row r="83" spans="1:5" ht="25.5" x14ac:dyDescent="0.2">
      <c r="A83" s="1529"/>
      <c r="B83" s="1531"/>
      <c r="C83" s="1525" t="s">
        <v>761</v>
      </c>
      <c r="D83" s="678" t="s">
        <v>762</v>
      </c>
      <c r="E83" s="1536"/>
    </row>
    <row r="84" spans="1:5" ht="25.5" x14ac:dyDescent="0.2">
      <c r="A84" s="1529"/>
      <c r="B84" s="1531"/>
      <c r="C84" s="1525"/>
      <c r="D84" s="678" t="s">
        <v>763</v>
      </c>
      <c r="E84" s="1536"/>
    </row>
    <row r="85" spans="1:5" ht="25.5" x14ac:dyDescent="0.2">
      <c r="A85" s="1529"/>
      <c r="B85" s="1531"/>
      <c r="C85" s="1525"/>
      <c r="D85" s="678" t="s">
        <v>764</v>
      </c>
      <c r="E85" s="1536"/>
    </row>
    <row r="86" spans="1:5" ht="25.5" x14ac:dyDescent="0.2">
      <c r="A86" s="1529"/>
      <c r="B86" s="1531"/>
      <c r="C86" s="1525"/>
      <c r="D86" s="678" t="s">
        <v>765</v>
      </c>
      <c r="E86" s="1536"/>
    </row>
    <row r="87" spans="1:5" x14ac:dyDescent="0.2">
      <c r="A87" s="1529"/>
      <c r="B87" s="1526" t="s">
        <v>679</v>
      </c>
      <c r="C87" s="1534" t="s">
        <v>766</v>
      </c>
      <c r="D87" s="678" t="s">
        <v>767</v>
      </c>
      <c r="E87" s="1536"/>
    </row>
    <row r="88" spans="1:5" x14ac:dyDescent="0.2">
      <c r="A88" s="1529"/>
      <c r="B88" s="1526"/>
      <c r="C88" s="1534"/>
      <c r="D88" s="678" t="s">
        <v>768</v>
      </c>
      <c r="E88" s="1536"/>
    </row>
    <row r="89" spans="1:5" x14ac:dyDescent="0.2">
      <c r="A89" s="1529"/>
      <c r="B89" s="1526"/>
      <c r="C89" s="1532" t="s">
        <v>769</v>
      </c>
      <c r="D89" s="678" t="s">
        <v>767</v>
      </c>
      <c r="E89" s="1536"/>
    </row>
    <row r="90" spans="1:5" x14ac:dyDescent="0.2">
      <c r="A90" s="1529"/>
      <c r="B90" s="1526"/>
      <c r="C90" s="1532"/>
      <c r="D90" s="678" t="s">
        <v>768</v>
      </c>
      <c r="E90" s="1536"/>
    </row>
    <row r="91" spans="1:5" ht="25.5" x14ac:dyDescent="0.2">
      <c r="A91" s="1529"/>
      <c r="B91" s="1526"/>
      <c r="C91" s="1532" t="s">
        <v>772</v>
      </c>
      <c r="D91" s="678" t="s">
        <v>770</v>
      </c>
      <c r="E91" s="1536"/>
    </row>
    <row r="92" spans="1:5" ht="25.5" x14ac:dyDescent="0.2">
      <c r="A92" s="1529"/>
      <c r="B92" s="1526"/>
      <c r="C92" s="1532"/>
      <c r="D92" s="678" t="s">
        <v>771</v>
      </c>
      <c r="E92" s="1536"/>
    </row>
    <row r="93" spans="1:5" x14ac:dyDescent="0.2">
      <c r="A93" s="1529"/>
      <c r="B93" s="1526"/>
      <c r="C93" s="1532" t="s">
        <v>774</v>
      </c>
      <c r="D93" s="678" t="s">
        <v>773</v>
      </c>
      <c r="E93" s="1536"/>
    </row>
    <row r="94" spans="1:5" ht="25.5" x14ac:dyDescent="0.2">
      <c r="A94" s="1529"/>
      <c r="B94" s="1526"/>
      <c r="C94" s="1532"/>
      <c r="D94" s="678" t="s">
        <v>775</v>
      </c>
      <c r="E94" s="1536"/>
    </row>
    <row r="95" spans="1:5" ht="38.25" x14ac:dyDescent="0.2">
      <c r="A95" s="1529"/>
      <c r="B95" s="1531" t="s">
        <v>630</v>
      </c>
      <c r="C95" s="1531" t="s">
        <v>778</v>
      </c>
      <c r="D95" s="678" t="s">
        <v>776</v>
      </c>
      <c r="E95" s="1536"/>
    </row>
    <row r="96" spans="1:5" ht="38.25" x14ac:dyDescent="0.2">
      <c r="A96" s="1529"/>
      <c r="B96" s="1531"/>
      <c r="C96" s="1531"/>
      <c r="D96" s="678" t="s">
        <v>777</v>
      </c>
      <c r="E96" s="1536"/>
    </row>
    <row r="97" spans="1:5" ht="38.25" x14ac:dyDescent="0.2">
      <c r="A97" s="1529"/>
      <c r="B97" s="1531"/>
      <c r="C97" s="1531" t="s">
        <v>779</v>
      </c>
      <c r="D97" s="678" t="s">
        <v>780</v>
      </c>
      <c r="E97" s="1536"/>
    </row>
    <row r="98" spans="1:5" ht="38.25" x14ac:dyDescent="0.2">
      <c r="A98" s="1529"/>
      <c r="B98" s="1531"/>
      <c r="C98" s="1531"/>
      <c r="D98" s="678" t="s">
        <v>797</v>
      </c>
      <c r="E98" s="1536"/>
    </row>
    <row r="99" spans="1:5" ht="38.25" x14ac:dyDescent="0.2">
      <c r="A99" s="1529"/>
      <c r="B99" s="1531"/>
      <c r="C99" s="1531" t="s">
        <v>782</v>
      </c>
      <c r="D99" s="678" t="s">
        <v>781</v>
      </c>
      <c r="E99" s="1536"/>
    </row>
    <row r="100" spans="1:5" ht="38.25" x14ac:dyDescent="0.2">
      <c r="A100" s="1529"/>
      <c r="B100" s="1531"/>
      <c r="C100" s="1531"/>
      <c r="D100" s="678" t="s">
        <v>798</v>
      </c>
      <c r="E100" s="1536"/>
    </row>
    <row r="101" spans="1:5" ht="38.25" x14ac:dyDescent="0.2">
      <c r="A101" s="1529"/>
      <c r="B101" s="1531"/>
      <c r="C101" s="1531" t="s">
        <v>784</v>
      </c>
      <c r="D101" s="678" t="s">
        <v>783</v>
      </c>
      <c r="E101" s="1536"/>
    </row>
    <row r="102" spans="1:5" ht="38.25" x14ac:dyDescent="0.2">
      <c r="A102" s="1529"/>
      <c r="B102" s="1531"/>
      <c r="C102" s="1531"/>
      <c r="D102" s="678" t="s">
        <v>799</v>
      </c>
      <c r="E102" s="1536"/>
    </row>
    <row r="103" spans="1:5" ht="38.25" x14ac:dyDescent="0.2">
      <c r="A103" s="1529"/>
      <c r="B103" s="1531"/>
      <c r="C103" s="1531" t="s">
        <v>786</v>
      </c>
      <c r="D103" s="678" t="s">
        <v>785</v>
      </c>
      <c r="E103" s="1536"/>
    </row>
    <row r="104" spans="1:5" ht="38.25" x14ac:dyDescent="0.2">
      <c r="A104" s="1529"/>
      <c r="B104" s="1531"/>
      <c r="C104" s="1531"/>
      <c r="D104" s="678" t="s">
        <v>800</v>
      </c>
      <c r="E104" s="1536"/>
    </row>
    <row r="105" spans="1:5" ht="38.25" x14ac:dyDescent="0.2">
      <c r="A105" s="1529"/>
      <c r="B105" s="1531"/>
      <c r="C105" s="1531" t="s">
        <v>788</v>
      </c>
      <c r="D105" s="678" t="s">
        <v>787</v>
      </c>
      <c r="E105" s="1536"/>
    </row>
    <row r="106" spans="1:5" ht="38.25" x14ac:dyDescent="0.2">
      <c r="A106" s="1529"/>
      <c r="B106" s="1531"/>
      <c r="C106" s="1531"/>
      <c r="D106" s="678" t="s">
        <v>801</v>
      </c>
      <c r="E106" s="1536"/>
    </row>
    <row r="107" spans="1:5" ht="38.25" x14ac:dyDescent="0.2">
      <c r="A107" s="1529"/>
      <c r="B107" s="1531"/>
      <c r="C107" s="1531" t="s">
        <v>790</v>
      </c>
      <c r="D107" s="678" t="s">
        <v>789</v>
      </c>
      <c r="E107" s="1536"/>
    </row>
    <row r="108" spans="1:5" ht="38.25" x14ac:dyDescent="0.2">
      <c r="A108" s="1529"/>
      <c r="B108" s="1531"/>
      <c r="C108" s="1531"/>
      <c r="D108" s="678" t="s">
        <v>802</v>
      </c>
      <c r="E108" s="1536"/>
    </row>
    <row r="109" spans="1:5" ht="38.25" x14ac:dyDescent="0.2">
      <c r="A109" s="1529"/>
      <c r="B109" s="1531"/>
      <c r="C109" s="1538" t="s">
        <v>791</v>
      </c>
      <c r="D109" s="678" t="s">
        <v>792</v>
      </c>
      <c r="E109" s="1536"/>
    </row>
    <row r="110" spans="1:5" ht="38.25" x14ac:dyDescent="0.2">
      <c r="A110" s="1529"/>
      <c r="B110" s="1531"/>
      <c r="C110" s="1538"/>
      <c r="D110" s="678" t="s">
        <v>803</v>
      </c>
      <c r="E110" s="1536"/>
    </row>
    <row r="111" spans="1:5" x14ac:dyDescent="0.2">
      <c r="A111" s="1529"/>
      <c r="B111" s="1526" t="s">
        <v>622</v>
      </c>
      <c r="C111" s="1526" t="s">
        <v>793</v>
      </c>
      <c r="D111" s="680" t="s">
        <v>794</v>
      </c>
      <c r="E111" s="1536"/>
    </row>
    <row r="112" spans="1:5" x14ac:dyDescent="0.2">
      <c r="A112" s="1529"/>
      <c r="B112" s="1526"/>
      <c r="C112" s="1526"/>
      <c r="D112" s="680" t="s">
        <v>809</v>
      </c>
      <c r="E112" s="1536"/>
    </row>
    <row r="113" spans="1:5" x14ac:dyDescent="0.2">
      <c r="A113" s="1529"/>
      <c r="B113" s="1526"/>
      <c r="C113" s="1526" t="s">
        <v>795</v>
      </c>
      <c r="D113" s="680" t="s">
        <v>794</v>
      </c>
      <c r="E113" s="1536"/>
    </row>
    <row r="114" spans="1:5" x14ac:dyDescent="0.2">
      <c r="A114" s="1529"/>
      <c r="B114" s="1527"/>
      <c r="C114" s="1527"/>
      <c r="D114" s="681" t="s">
        <v>809</v>
      </c>
      <c r="E114" s="1536"/>
    </row>
    <row r="115" spans="1:5" x14ac:dyDescent="0.2">
      <c r="A115" s="1543">
        <v>45083</v>
      </c>
      <c r="B115" s="682" t="s">
        <v>600</v>
      </c>
      <c r="C115" s="682" t="s">
        <v>807</v>
      </c>
      <c r="D115" s="683" t="s">
        <v>808</v>
      </c>
      <c r="E115" s="1463"/>
    </row>
    <row r="116" spans="1:5" x14ac:dyDescent="0.2">
      <c r="A116" s="1543"/>
      <c r="B116" s="1533" t="s">
        <v>696</v>
      </c>
      <c r="C116" s="684" t="s">
        <v>810</v>
      </c>
      <c r="D116" s="685" t="s">
        <v>811</v>
      </c>
      <c r="E116" s="1537" t="s">
        <v>817</v>
      </c>
    </row>
    <row r="117" spans="1:5" x14ac:dyDescent="0.2">
      <c r="A117" s="1543"/>
      <c r="B117" s="1533"/>
      <c r="C117" s="684" t="s">
        <v>812</v>
      </c>
      <c r="D117" s="685" t="s">
        <v>804</v>
      </c>
      <c r="E117" s="1537"/>
    </row>
    <row r="118" spans="1:5" x14ac:dyDescent="0.2">
      <c r="A118" s="1543"/>
      <c r="B118" s="1533"/>
      <c r="C118" s="684" t="s">
        <v>813</v>
      </c>
      <c r="D118" s="685" t="s">
        <v>814</v>
      </c>
      <c r="E118" s="1537"/>
    </row>
    <row r="119" spans="1:5" ht="25.5" x14ac:dyDescent="0.2">
      <c r="A119" s="1543"/>
      <c r="B119" s="1533"/>
      <c r="C119" s="684" t="s">
        <v>818</v>
      </c>
      <c r="D119" s="685" t="s">
        <v>815</v>
      </c>
      <c r="E119" s="1537"/>
    </row>
    <row r="120" spans="1:5" ht="25.5" x14ac:dyDescent="0.2">
      <c r="A120" s="1543"/>
      <c r="B120" s="1533"/>
      <c r="C120" s="684" t="s">
        <v>819</v>
      </c>
      <c r="D120" s="685" t="s">
        <v>816</v>
      </c>
      <c r="E120" s="1537"/>
    </row>
    <row r="121" spans="1:5" x14ac:dyDescent="0.2">
      <c r="A121" s="1543"/>
      <c r="B121" s="1548" t="s">
        <v>679</v>
      </c>
      <c r="C121" s="1533" t="s">
        <v>820</v>
      </c>
      <c r="D121" s="686" t="s">
        <v>822</v>
      </c>
      <c r="E121" s="1464"/>
    </row>
    <row r="122" spans="1:5" x14ac:dyDescent="0.2">
      <c r="A122" s="1543"/>
      <c r="B122" s="1549"/>
      <c r="C122" s="1547"/>
      <c r="D122" s="687" t="s">
        <v>821</v>
      </c>
      <c r="E122" s="1465"/>
    </row>
    <row r="123" spans="1:5" ht="57" customHeight="1" x14ac:dyDescent="0.2">
      <c r="A123" s="1544">
        <v>45089</v>
      </c>
      <c r="B123" s="1545" t="s">
        <v>679</v>
      </c>
      <c r="C123" s="1530" t="s">
        <v>739</v>
      </c>
      <c r="D123" s="688" t="s">
        <v>823</v>
      </c>
      <c r="E123" s="1546" t="s">
        <v>825</v>
      </c>
    </row>
    <row r="124" spans="1:5" ht="25.5" x14ac:dyDescent="0.2">
      <c r="A124" s="1544"/>
      <c r="B124" s="1526"/>
      <c r="C124" s="1531"/>
      <c r="D124" s="678" t="s">
        <v>824</v>
      </c>
      <c r="E124" s="1541"/>
    </row>
    <row r="125" spans="1:5" ht="25.5" x14ac:dyDescent="0.2">
      <c r="A125" s="1544"/>
      <c r="B125" s="1526" t="s">
        <v>696</v>
      </c>
      <c r="C125" s="689" t="s">
        <v>832</v>
      </c>
      <c r="D125" s="690" t="s">
        <v>826</v>
      </c>
      <c r="E125" s="1541" t="s">
        <v>833</v>
      </c>
    </row>
    <row r="126" spans="1:5" ht="25.5" x14ac:dyDescent="0.2">
      <c r="A126" s="1544"/>
      <c r="B126" s="1526"/>
      <c r="C126" s="689" t="s">
        <v>834</v>
      </c>
      <c r="D126" s="678" t="s">
        <v>835</v>
      </c>
      <c r="E126" s="1541"/>
    </row>
    <row r="127" spans="1:5" x14ac:dyDescent="0.2">
      <c r="A127" s="1544"/>
      <c r="B127" s="1526" t="s">
        <v>836</v>
      </c>
      <c r="C127" s="689" t="s">
        <v>772</v>
      </c>
      <c r="D127" s="678" t="s">
        <v>837</v>
      </c>
      <c r="E127" s="1541"/>
    </row>
    <row r="128" spans="1:5" x14ac:dyDescent="0.2">
      <c r="A128" s="1544"/>
      <c r="B128" s="1526"/>
      <c r="C128" s="689" t="s">
        <v>774</v>
      </c>
      <c r="D128" s="678" t="s">
        <v>837</v>
      </c>
      <c r="E128" s="1541"/>
    </row>
    <row r="129" spans="1:5" x14ac:dyDescent="0.2">
      <c r="A129" s="1544"/>
      <c r="B129" s="1526"/>
      <c r="C129" s="689" t="s">
        <v>820</v>
      </c>
      <c r="D129" s="678" t="s">
        <v>837</v>
      </c>
      <c r="E129" s="1541"/>
    </row>
    <row r="130" spans="1:5" x14ac:dyDescent="0.2">
      <c r="A130" s="1544"/>
      <c r="B130" s="1526"/>
      <c r="C130" s="689" t="s">
        <v>769</v>
      </c>
      <c r="D130" s="678" t="s">
        <v>837</v>
      </c>
      <c r="E130" s="1541"/>
    </row>
    <row r="131" spans="1:5" x14ac:dyDescent="0.2">
      <c r="A131" s="1544"/>
      <c r="B131" s="1526"/>
      <c r="C131" s="689" t="s">
        <v>766</v>
      </c>
      <c r="D131" s="678" t="s">
        <v>837</v>
      </c>
      <c r="E131" s="1541"/>
    </row>
    <row r="132" spans="1:5" x14ac:dyDescent="0.2">
      <c r="A132" s="1544"/>
      <c r="B132" s="1526" t="s">
        <v>630</v>
      </c>
      <c r="C132" s="689" t="s">
        <v>778</v>
      </c>
      <c r="D132" s="678" t="s">
        <v>837</v>
      </c>
      <c r="E132" s="1541"/>
    </row>
    <row r="133" spans="1:5" x14ac:dyDescent="0.2">
      <c r="A133" s="1544"/>
      <c r="B133" s="1526"/>
      <c r="C133" s="689" t="s">
        <v>795</v>
      </c>
      <c r="D133" s="678" t="s">
        <v>837</v>
      </c>
      <c r="E133" s="1541"/>
    </row>
    <row r="134" spans="1:5" x14ac:dyDescent="0.2">
      <c r="A134" s="1544"/>
      <c r="B134" s="1526" t="s">
        <v>622</v>
      </c>
      <c r="C134" s="689" t="s">
        <v>839</v>
      </c>
      <c r="D134" s="678" t="s">
        <v>837</v>
      </c>
      <c r="E134" s="1541"/>
    </row>
    <row r="135" spans="1:5" x14ac:dyDescent="0.2">
      <c r="A135" s="1544"/>
      <c r="B135" s="1526"/>
      <c r="C135" s="689" t="s">
        <v>838</v>
      </c>
      <c r="D135" s="678" t="s">
        <v>837</v>
      </c>
      <c r="E135" s="1541"/>
    </row>
    <row r="136" spans="1:5" x14ac:dyDescent="0.2">
      <c r="A136" s="1544"/>
      <c r="B136" s="1527"/>
      <c r="C136" s="691" t="s">
        <v>793</v>
      </c>
      <c r="D136" s="679" t="s">
        <v>837</v>
      </c>
      <c r="E136" s="1542"/>
    </row>
    <row r="137" spans="1:5" x14ac:dyDescent="0.2">
      <c r="A137" s="1518">
        <v>45250</v>
      </c>
      <c r="B137" s="818" t="s">
        <v>696</v>
      </c>
      <c r="C137" s="818" t="s">
        <v>651</v>
      </c>
      <c r="D137" s="818" t="s">
        <v>933</v>
      </c>
      <c r="E137" s="1466" t="s">
        <v>840</v>
      </c>
    </row>
    <row r="138" spans="1:5" ht="25.5" x14ac:dyDescent="0.2">
      <c r="A138" s="1519"/>
      <c r="B138" s="1550" t="s">
        <v>594</v>
      </c>
      <c r="C138" s="824" t="s">
        <v>841</v>
      </c>
      <c r="D138" s="825" t="s">
        <v>842</v>
      </c>
      <c r="E138" s="1467"/>
    </row>
    <row r="139" spans="1:5" x14ac:dyDescent="0.2">
      <c r="A139" s="1519"/>
      <c r="B139" s="1551"/>
      <c r="C139" s="826" t="s">
        <v>858</v>
      </c>
      <c r="D139" s="826" t="s">
        <v>859</v>
      </c>
      <c r="E139" s="1468"/>
    </row>
    <row r="140" spans="1:5" x14ac:dyDescent="0.2">
      <c r="A140" s="1519"/>
      <c r="B140" s="818" t="s">
        <v>846</v>
      </c>
      <c r="C140" s="818" t="s">
        <v>847</v>
      </c>
      <c r="D140" s="818"/>
      <c r="E140" s="1466"/>
    </row>
    <row r="141" spans="1:5" x14ac:dyDescent="0.2">
      <c r="A141" s="1519"/>
      <c r="B141" s="1539" t="s">
        <v>851</v>
      </c>
      <c r="C141" s="824" t="s">
        <v>850</v>
      </c>
      <c r="D141" s="824" t="s">
        <v>852</v>
      </c>
      <c r="E141" s="1467"/>
    </row>
    <row r="142" spans="1:5" x14ac:dyDescent="0.2">
      <c r="A142" s="1519"/>
      <c r="B142" s="1539"/>
      <c r="C142" s="827" t="s">
        <v>853</v>
      </c>
      <c r="D142" s="827" t="s">
        <v>854</v>
      </c>
      <c r="E142" s="1469"/>
    </row>
    <row r="143" spans="1:5" x14ac:dyDescent="0.2">
      <c r="A143" s="1519"/>
      <c r="B143" s="1539"/>
      <c r="C143" s="827" t="s">
        <v>855</v>
      </c>
      <c r="D143" s="827" t="s">
        <v>856</v>
      </c>
      <c r="E143" s="1469"/>
    </row>
    <row r="144" spans="1:5" x14ac:dyDescent="0.2">
      <c r="A144" s="1519"/>
      <c r="B144" s="1539"/>
      <c r="C144" s="827" t="s">
        <v>860</v>
      </c>
      <c r="D144" s="828" t="s">
        <v>861</v>
      </c>
      <c r="E144" s="1469"/>
    </row>
    <row r="145" spans="1:5" ht="25.5" x14ac:dyDescent="0.2">
      <c r="A145" s="1519"/>
      <c r="B145" s="1539"/>
      <c r="C145" s="827" t="s">
        <v>870</v>
      </c>
      <c r="D145" s="828" t="s">
        <v>871</v>
      </c>
      <c r="E145" s="1469"/>
    </row>
    <row r="146" spans="1:5" x14ac:dyDescent="0.2">
      <c r="A146" s="1519"/>
      <c r="B146" s="1539"/>
      <c r="C146" s="826" t="s">
        <v>913</v>
      </c>
      <c r="D146" s="829" t="s">
        <v>914</v>
      </c>
      <c r="E146" s="1468"/>
    </row>
    <row r="147" spans="1:5" ht="38.25" x14ac:dyDescent="0.2">
      <c r="A147" s="1519"/>
      <c r="B147" s="1515" t="s">
        <v>619</v>
      </c>
      <c r="C147" s="824" t="s">
        <v>882</v>
      </c>
      <c r="D147" s="825" t="s">
        <v>890</v>
      </c>
      <c r="E147" s="1467"/>
    </row>
    <row r="148" spans="1:5" x14ac:dyDescent="0.2">
      <c r="A148" s="1519"/>
      <c r="B148" s="1516"/>
      <c r="C148" s="827" t="s">
        <v>883</v>
      </c>
      <c r="D148" s="828" t="s">
        <v>884</v>
      </c>
      <c r="E148" s="1469"/>
    </row>
    <row r="149" spans="1:5" x14ac:dyDescent="0.2">
      <c r="A149" s="1519"/>
      <c r="B149" s="1516"/>
      <c r="C149" s="827" t="s">
        <v>893</v>
      </c>
      <c r="D149" s="828"/>
      <c r="E149" s="1469"/>
    </row>
    <row r="150" spans="1:5" ht="25.5" x14ac:dyDescent="0.2">
      <c r="A150" s="1519"/>
      <c r="B150" s="1516"/>
      <c r="C150" s="827" t="s">
        <v>895</v>
      </c>
      <c r="D150" s="828" t="s">
        <v>894</v>
      </c>
      <c r="E150" s="1469"/>
    </row>
    <row r="151" spans="1:5" x14ac:dyDescent="0.2">
      <c r="A151" s="1519"/>
      <c r="B151" s="1516"/>
      <c r="C151" s="827" t="s">
        <v>896</v>
      </c>
      <c r="D151" s="828" t="s">
        <v>369</v>
      </c>
      <c r="E151" s="1469"/>
    </row>
    <row r="152" spans="1:5" x14ac:dyDescent="0.2">
      <c r="A152" s="1519"/>
      <c r="B152" s="1516"/>
      <c r="C152" s="832" t="s">
        <v>969</v>
      </c>
      <c r="D152" s="828" t="s">
        <v>887</v>
      </c>
      <c r="E152" s="1470" t="s">
        <v>888</v>
      </c>
    </row>
    <row r="153" spans="1:5" ht="38.25" x14ac:dyDescent="0.2">
      <c r="A153" s="1519"/>
      <c r="B153" s="1516"/>
      <c r="C153" s="832" t="s">
        <v>970</v>
      </c>
      <c r="D153" s="833" t="s">
        <v>981</v>
      </c>
      <c r="E153" s="1470" t="s">
        <v>888</v>
      </c>
    </row>
    <row r="154" spans="1:5" ht="38.25" x14ac:dyDescent="0.2">
      <c r="A154" s="1519"/>
      <c r="B154" s="1516"/>
      <c r="C154" s="832" t="s">
        <v>971</v>
      </c>
      <c r="D154" s="833" t="s">
        <v>982</v>
      </c>
      <c r="E154" s="1470" t="s">
        <v>888</v>
      </c>
    </row>
    <row r="155" spans="1:5" ht="38.25" x14ac:dyDescent="0.2">
      <c r="A155" s="1519"/>
      <c r="B155" s="1516"/>
      <c r="C155" s="832" t="s">
        <v>972</v>
      </c>
      <c r="D155" s="833" t="s">
        <v>983</v>
      </c>
      <c r="E155" s="1470" t="s">
        <v>888</v>
      </c>
    </row>
    <row r="156" spans="1:5" ht="38.25" x14ac:dyDescent="0.2">
      <c r="A156" s="1519"/>
      <c r="B156" s="1516"/>
      <c r="C156" s="832" t="s">
        <v>973</v>
      </c>
      <c r="D156" s="833" t="s">
        <v>984</v>
      </c>
      <c r="E156" s="1470" t="s">
        <v>888</v>
      </c>
    </row>
    <row r="157" spans="1:5" ht="38.25" x14ac:dyDescent="0.2">
      <c r="A157" s="1519"/>
      <c r="B157" s="1516"/>
      <c r="C157" s="832" t="s">
        <v>974</v>
      </c>
      <c r="D157" s="833" t="s">
        <v>985</v>
      </c>
      <c r="E157" s="1470" t="s">
        <v>888</v>
      </c>
    </row>
    <row r="158" spans="1:5" ht="38.25" x14ac:dyDescent="0.2">
      <c r="A158" s="1519"/>
      <c r="B158" s="1516"/>
      <c r="C158" s="832" t="s">
        <v>975</v>
      </c>
      <c r="D158" s="833" t="s">
        <v>986</v>
      </c>
      <c r="E158" s="1470" t="s">
        <v>888</v>
      </c>
    </row>
    <row r="159" spans="1:5" ht="38.25" x14ac:dyDescent="0.2">
      <c r="A159" s="1519"/>
      <c r="B159" s="1516"/>
      <c r="C159" s="832" t="s">
        <v>976</v>
      </c>
      <c r="D159" s="833" t="s">
        <v>987</v>
      </c>
      <c r="E159" s="1470" t="s">
        <v>888</v>
      </c>
    </row>
    <row r="160" spans="1:5" ht="38.25" x14ac:dyDescent="0.2">
      <c r="A160" s="1519"/>
      <c r="B160" s="1516"/>
      <c r="C160" s="832" t="s">
        <v>977</v>
      </c>
      <c r="D160" s="833" t="s">
        <v>988</v>
      </c>
      <c r="E160" s="1470" t="s">
        <v>888</v>
      </c>
    </row>
    <row r="161" spans="1:5" ht="38.25" x14ac:dyDescent="0.2">
      <c r="A161" s="1519"/>
      <c r="B161" s="1516"/>
      <c r="C161" s="832" t="s">
        <v>978</v>
      </c>
      <c r="D161" s="833" t="s">
        <v>989</v>
      </c>
      <c r="E161" s="1470" t="s">
        <v>888</v>
      </c>
    </row>
    <row r="162" spans="1:5" ht="38.25" x14ac:dyDescent="0.2">
      <c r="A162" s="1519"/>
      <c r="B162" s="1516"/>
      <c r="C162" s="832" t="s">
        <v>979</v>
      </c>
      <c r="D162" s="833" t="s">
        <v>990</v>
      </c>
      <c r="E162" s="1470" t="s">
        <v>888</v>
      </c>
    </row>
    <row r="163" spans="1:5" ht="38.25" x14ac:dyDescent="0.2">
      <c r="A163" s="1519"/>
      <c r="B163" s="1516"/>
      <c r="C163" s="832" t="s">
        <v>980</v>
      </c>
      <c r="D163" s="833" t="s">
        <v>991</v>
      </c>
      <c r="E163" s="1470" t="s">
        <v>888</v>
      </c>
    </row>
    <row r="164" spans="1:5" x14ac:dyDescent="0.2">
      <c r="A164" s="1519"/>
      <c r="B164" s="1516"/>
      <c r="C164" s="832" t="s">
        <v>992</v>
      </c>
      <c r="D164" s="834" t="s">
        <v>897</v>
      </c>
      <c r="E164" s="1470" t="s">
        <v>888</v>
      </c>
    </row>
    <row r="165" spans="1:5" ht="38.25" x14ac:dyDescent="0.2">
      <c r="A165" s="1519"/>
      <c r="B165" s="1516"/>
      <c r="C165" s="832" t="s">
        <v>993</v>
      </c>
      <c r="D165" s="828" t="s">
        <v>891</v>
      </c>
      <c r="E165" s="1470"/>
    </row>
    <row r="166" spans="1:5" x14ac:dyDescent="0.2">
      <c r="A166" s="1519"/>
      <c r="B166" s="1516"/>
      <c r="C166" s="832" t="s">
        <v>994</v>
      </c>
      <c r="D166" s="835" t="s">
        <v>995</v>
      </c>
      <c r="E166" s="1470"/>
    </row>
    <row r="167" spans="1:5" ht="38.25" x14ac:dyDescent="0.2">
      <c r="A167" s="1519"/>
      <c r="B167" s="1516"/>
      <c r="C167" s="832" t="s">
        <v>1007</v>
      </c>
      <c r="D167" s="833" t="s">
        <v>1009</v>
      </c>
      <c r="E167" s="1470" t="s">
        <v>968</v>
      </c>
    </row>
    <row r="168" spans="1:5" ht="38.25" x14ac:dyDescent="0.2">
      <c r="A168" s="1519"/>
      <c r="B168" s="1516"/>
      <c r="C168" s="832" t="s">
        <v>1008</v>
      </c>
      <c r="D168" s="833" t="s">
        <v>1010</v>
      </c>
      <c r="E168" s="1470" t="s">
        <v>968</v>
      </c>
    </row>
    <row r="169" spans="1:5" ht="38.25" x14ac:dyDescent="0.2">
      <c r="A169" s="1519"/>
      <c r="B169" s="1516"/>
      <c r="C169" s="832" t="s">
        <v>996</v>
      </c>
      <c r="D169" s="833" t="s">
        <v>1011</v>
      </c>
      <c r="E169" s="1470" t="s">
        <v>968</v>
      </c>
    </row>
    <row r="170" spans="1:5" ht="38.25" x14ac:dyDescent="0.2">
      <c r="A170" s="1519"/>
      <c r="B170" s="1516"/>
      <c r="C170" s="832" t="s">
        <v>997</v>
      </c>
      <c r="D170" s="833" t="s">
        <v>1012</v>
      </c>
      <c r="E170" s="1470" t="s">
        <v>968</v>
      </c>
    </row>
    <row r="171" spans="1:5" ht="38.25" x14ac:dyDescent="0.2">
      <c r="A171" s="1519"/>
      <c r="B171" s="1516"/>
      <c r="C171" s="832" t="s">
        <v>998</v>
      </c>
      <c r="D171" s="833" t="s">
        <v>1013</v>
      </c>
      <c r="E171" s="1470" t="s">
        <v>968</v>
      </c>
    </row>
    <row r="172" spans="1:5" ht="38.25" x14ac:dyDescent="0.2">
      <c r="A172" s="1519"/>
      <c r="B172" s="1516"/>
      <c r="C172" s="832" t="s">
        <v>999</v>
      </c>
      <c r="D172" s="833" t="s">
        <v>1014</v>
      </c>
      <c r="E172" s="1470" t="s">
        <v>968</v>
      </c>
    </row>
    <row r="173" spans="1:5" ht="38.25" x14ac:dyDescent="0.2">
      <c r="A173" s="1519"/>
      <c r="B173" s="1516"/>
      <c r="C173" s="832" t="s">
        <v>1000</v>
      </c>
      <c r="D173" s="833" t="s">
        <v>1015</v>
      </c>
      <c r="E173" s="1470" t="s">
        <v>968</v>
      </c>
    </row>
    <row r="174" spans="1:5" ht="38.25" x14ac:dyDescent="0.2">
      <c r="A174" s="1519"/>
      <c r="B174" s="1516"/>
      <c r="C174" s="832" t="s">
        <v>1001</v>
      </c>
      <c r="D174" s="833" t="s">
        <v>1016</v>
      </c>
      <c r="E174" s="1470" t="s">
        <v>968</v>
      </c>
    </row>
    <row r="175" spans="1:5" ht="38.25" x14ac:dyDescent="0.2">
      <c r="A175" s="1519"/>
      <c r="B175" s="1516"/>
      <c r="C175" s="832" t="s">
        <v>1002</v>
      </c>
      <c r="D175" s="833" t="s">
        <v>1017</v>
      </c>
      <c r="E175" s="1470" t="s">
        <v>968</v>
      </c>
    </row>
    <row r="176" spans="1:5" ht="38.25" x14ac:dyDescent="0.2">
      <c r="A176" s="1519"/>
      <c r="B176" s="1516"/>
      <c r="C176" s="832" t="s">
        <v>1003</v>
      </c>
      <c r="D176" s="833" t="s">
        <v>1018</v>
      </c>
      <c r="E176" s="1470" t="s">
        <v>968</v>
      </c>
    </row>
    <row r="177" spans="1:5" ht="38.25" x14ac:dyDescent="0.2">
      <c r="A177" s="1519"/>
      <c r="B177" s="1516"/>
      <c r="C177" s="832" t="s">
        <v>1004</v>
      </c>
      <c r="D177" s="833" t="s">
        <v>1019</v>
      </c>
      <c r="E177" s="1470" t="s">
        <v>968</v>
      </c>
    </row>
    <row r="178" spans="1:5" ht="38.25" x14ac:dyDescent="0.2">
      <c r="A178" s="1519"/>
      <c r="B178" s="1516"/>
      <c r="C178" s="832" t="s">
        <v>1005</v>
      </c>
      <c r="D178" s="833" t="s">
        <v>1020</v>
      </c>
      <c r="E178" s="1470" t="s">
        <v>968</v>
      </c>
    </row>
    <row r="179" spans="1:5" x14ac:dyDescent="0.2">
      <c r="A179" s="1519"/>
      <c r="B179" s="1516"/>
      <c r="C179" s="832" t="s">
        <v>1006</v>
      </c>
      <c r="D179" s="834" t="s">
        <v>1021</v>
      </c>
      <c r="E179" s="1470" t="s">
        <v>968</v>
      </c>
    </row>
    <row r="180" spans="1:5" x14ac:dyDescent="0.2">
      <c r="A180" s="1519"/>
      <c r="B180" s="1516"/>
      <c r="C180" s="832" t="s">
        <v>1047</v>
      </c>
      <c r="D180" s="834" t="s">
        <v>1022</v>
      </c>
      <c r="E180" s="1470"/>
    </row>
    <row r="181" spans="1:5" ht="25.5" x14ac:dyDescent="0.2">
      <c r="A181" s="1519"/>
      <c r="B181" s="1516"/>
      <c r="C181" s="832" t="s">
        <v>1046</v>
      </c>
      <c r="D181" s="836" t="s">
        <v>1023</v>
      </c>
      <c r="E181" s="1471" t="s">
        <v>927</v>
      </c>
    </row>
    <row r="182" spans="1:5" ht="25.5" x14ac:dyDescent="0.2">
      <c r="A182" s="1519"/>
      <c r="B182" s="1516"/>
      <c r="C182" s="832" t="s">
        <v>1048</v>
      </c>
      <c r="D182" s="836" t="s">
        <v>1024</v>
      </c>
      <c r="E182" s="1471" t="s">
        <v>927</v>
      </c>
    </row>
    <row r="183" spans="1:5" ht="25.5" x14ac:dyDescent="0.2">
      <c r="A183" s="1519"/>
      <c r="B183" s="1516"/>
      <c r="C183" s="832" t="s">
        <v>1049</v>
      </c>
      <c r="D183" s="836" t="s">
        <v>1025</v>
      </c>
      <c r="E183" s="1471" t="s">
        <v>927</v>
      </c>
    </row>
    <row r="184" spans="1:5" ht="25.5" x14ac:dyDescent="0.2">
      <c r="A184" s="1519"/>
      <c r="B184" s="1516"/>
      <c r="C184" s="832" t="s">
        <v>1050</v>
      </c>
      <c r="D184" s="836" t="s">
        <v>1026</v>
      </c>
      <c r="E184" s="1471" t="s">
        <v>927</v>
      </c>
    </row>
    <row r="185" spans="1:5" ht="25.5" x14ac:dyDescent="0.2">
      <c r="A185" s="1519"/>
      <c r="B185" s="1516"/>
      <c r="C185" s="832" t="s">
        <v>1051</v>
      </c>
      <c r="D185" s="836" t="s">
        <v>1027</v>
      </c>
      <c r="E185" s="1471" t="s">
        <v>927</v>
      </c>
    </row>
    <row r="186" spans="1:5" ht="25.5" x14ac:dyDescent="0.2">
      <c r="A186" s="1519"/>
      <c r="B186" s="1516"/>
      <c r="C186" s="832" t="s">
        <v>1052</v>
      </c>
      <c r="D186" s="836" t="s">
        <v>1028</v>
      </c>
      <c r="E186" s="1471" t="s">
        <v>927</v>
      </c>
    </row>
    <row r="187" spans="1:5" ht="25.5" x14ac:dyDescent="0.2">
      <c r="A187" s="1519"/>
      <c r="B187" s="1516"/>
      <c r="C187" s="832" t="s">
        <v>1053</v>
      </c>
      <c r="D187" s="836" t="s">
        <v>1029</v>
      </c>
      <c r="E187" s="1471" t="s">
        <v>927</v>
      </c>
    </row>
    <row r="188" spans="1:5" ht="25.5" x14ac:dyDescent="0.2">
      <c r="A188" s="1519"/>
      <c r="B188" s="1516"/>
      <c r="C188" s="832" t="s">
        <v>1054</v>
      </c>
      <c r="D188" s="836" t="s">
        <v>1030</v>
      </c>
      <c r="E188" s="1471" t="s">
        <v>927</v>
      </c>
    </row>
    <row r="189" spans="1:5" ht="25.5" x14ac:dyDescent="0.2">
      <c r="A189" s="1519"/>
      <c r="B189" s="1516"/>
      <c r="C189" s="832" t="s">
        <v>1055</v>
      </c>
      <c r="D189" s="836" t="s">
        <v>1031</v>
      </c>
      <c r="E189" s="1471" t="s">
        <v>927</v>
      </c>
    </row>
    <row r="190" spans="1:5" ht="25.5" x14ac:dyDescent="0.2">
      <c r="A190" s="1519"/>
      <c r="B190" s="1516"/>
      <c r="C190" s="832" t="s">
        <v>1056</v>
      </c>
      <c r="D190" s="836" t="s">
        <v>1032</v>
      </c>
      <c r="E190" s="1471" t="s">
        <v>927</v>
      </c>
    </row>
    <row r="191" spans="1:5" ht="25.5" x14ac:dyDescent="0.2">
      <c r="A191" s="1519"/>
      <c r="B191" s="1516"/>
      <c r="C191" s="832" t="s">
        <v>1057</v>
      </c>
      <c r="D191" s="836" t="s">
        <v>1033</v>
      </c>
      <c r="E191" s="1471" t="s">
        <v>927</v>
      </c>
    </row>
    <row r="192" spans="1:5" ht="25.5" x14ac:dyDescent="0.2">
      <c r="A192" s="1519"/>
      <c r="B192" s="1516"/>
      <c r="C192" s="832" t="s">
        <v>1058</v>
      </c>
      <c r="D192" s="836" t="s">
        <v>1034</v>
      </c>
      <c r="E192" s="1471" t="s">
        <v>927</v>
      </c>
    </row>
    <row r="193" spans="1:5" ht="25.5" x14ac:dyDescent="0.2">
      <c r="A193" s="1519"/>
      <c r="B193" s="1516"/>
      <c r="C193" s="832" t="s">
        <v>1059</v>
      </c>
      <c r="D193" s="836" t="s">
        <v>1035</v>
      </c>
      <c r="E193" s="1471" t="s">
        <v>927</v>
      </c>
    </row>
    <row r="194" spans="1:5" ht="25.5" x14ac:dyDescent="0.2">
      <c r="A194" s="1519"/>
      <c r="B194" s="1516"/>
      <c r="C194" s="832" t="s">
        <v>1060</v>
      </c>
      <c r="D194" s="836" t="s">
        <v>1036</v>
      </c>
      <c r="E194" s="1471" t="s">
        <v>927</v>
      </c>
    </row>
    <row r="195" spans="1:5" ht="25.5" x14ac:dyDescent="0.2">
      <c r="A195" s="1519"/>
      <c r="B195" s="1516"/>
      <c r="C195" s="832" t="s">
        <v>1061</v>
      </c>
      <c r="D195" s="836" t="s">
        <v>1037</v>
      </c>
      <c r="E195" s="1471" t="s">
        <v>927</v>
      </c>
    </row>
    <row r="196" spans="1:5" ht="25.5" x14ac:dyDescent="0.2">
      <c r="A196" s="1519"/>
      <c r="B196" s="1516"/>
      <c r="C196" s="832" t="s">
        <v>1062</v>
      </c>
      <c r="D196" s="836" t="s">
        <v>1038</v>
      </c>
      <c r="E196" s="1471" t="s">
        <v>927</v>
      </c>
    </row>
    <row r="197" spans="1:5" ht="25.5" x14ac:dyDescent="0.2">
      <c r="A197" s="1519"/>
      <c r="B197" s="1516"/>
      <c r="C197" s="832" t="s">
        <v>1063</v>
      </c>
      <c r="D197" s="836" t="s">
        <v>1039</v>
      </c>
      <c r="E197" s="1471" t="s">
        <v>927</v>
      </c>
    </row>
    <row r="198" spans="1:5" ht="25.5" x14ac:dyDescent="0.2">
      <c r="A198" s="1519"/>
      <c r="B198" s="1516"/>
      <c r="C198" s="832" t="s">
        <v>1064</v>
      </c>
      <c r="D198" s="836" t="s">
        <v>1040</v>
      </c>
      <c r="E198" s="1471" t="s">
        <v>927</v>
      </c>
    </row>
    <row r="199" spans="1:5" x14ac:dyDescent="0.2">
      <c r="A199" s="1519"/>
      <c r="B199" s="1516"/>
      <c r="C199" s="832" t="s">
        <v>1042</v>
      </c>
      <c r="D199" s="828" t="s">
        <v>898</v>
      </c>
      <c r="E199" s="1470"/>
    </row>
    <row r="200" spans="1:5" x14ac:dyDescent="0.2">
      <c r="A200" s="1519"/>
      <c r="B200" s="1516"/>
      <c r="C200" s="832" t="s">
        <v>1041</v>
      </c>
      <c r="D200" s="828" t="s">
        <v>899</v>
      </c>
      <c r="E200" s="1470"/>
    </row>
    <row r="201" spans="1:5" ht="25.5" x14ac:dyDescent="0.2">
      <c r="A201" s="1519"/>
      <c r="B201" s="1516"/>
      <c r="C201" s="832" t="s">
        <v>903</v>
      </c>
      <c r="D201" s="828" t="s">
        <v>900</v>
      </c>
      <c r="E201" s="1470"/>
    </row>
    <row r="202" spans="1:5" ht="25.5" x14ac:dyDescent="0.2">
      <c r="A202" s="1519"/>
      <c r="B202" s="1516"/>
      <c r="C202" s="832" t="s">
        <v>904</v>
      </c>
      <c r="D202" s="828" t="s">
        <v>901</v>
      </c>
      <c r="E202" s="1470"/>
    </row>
    <row r="203" spans="1:5" ht="25.5" x14ac:dyDescent="0.2">
      <c r="A203" s="1519"/>
      <c r="B203" s="1516"/>
      <c r="C203" s="832" t="s">
        <v>905</v>
      </c>
      <c r="D203" s="828" t="s">
        <v>902</v>
      </c>
      <c r="E203" s="1470"/>
    </row>
    <row r="204" spans="1:5" x14ac:dyDescent="0.2">
      <c r="A204" s="1519"/>
      <c r="B204" s="1516"/>
      <c r="C204" s="832" t="s">
        <v>1067</v>
      </c>
      <c r="D204" s="828" t="s">
        <v>1043</v>
      </c>
      <c r="E204" s="1470"/>
    </row>
    <row r="205" spans="1:5" x14ac:dyDescent="0.2">
      <c r="A205" s="1519"/>
      <c r="B205" s="1516"/>
      <c r="C205" s="832" t="s">
        <v>1065</v>
      </c>
      <c r="D205" s="828" t="s">
        <v>1044</v>
      </c>
      <c r="E205" s="1470"/>
    </row>
    <row r="206" spans="1:5" x14ac:dyDescent="0.2">
      <c r="A206" s="1519"/>
      <c r="B206" s="1516"/>
      <c r="C206" s="832" t="s">
        <v>1066</v>
      </c>
      <c r="D206" s="828" t="s">
        <v>1045</v>
      </c>
      <c r="E206" s="1470"/>
    </row>
    <row r="207" spans="1:5" x14ac:dyDescent="0.2">
      <c r="A207" s="1519"/>
      <c r="B207" s="1516"/>
      <c r="C207" s="832" t="s">
        <v>1068</v>
      </c>
      <c r="D207" s="828" t="s">
        <v>906</v>
      </c>
      <c r="E207" s="1470"/>
    </row>
    <row r="208" spans="1:5" x14ac:dyDescent="0.2">
      <c r="A208" s="1519"/>
      <c r="B208" s="1516"/>
      <c r="C208" s="832" t="s">
        <v>908</v>
      </c>
      <c r="D208" s="831" t="s">
        <v>907</v>
      </c>
      <c r="E208" s="1470"/>
    </row>
    <row r="209" spans="1:5" ht="25.5" x14ac:dyDescent="0.2">
      <c r="A209" s="1519"/>
      <c r="B209" s="1516"/>
      <c r="C209" s="832" t="s">
        <v>1069</v>
      </c>
      <c r="D209" s="828" t="s">
        <v>909</v>
      </c>
      <c r="E209" s="1470"/>
    </row>
    <row r="210" spans="1:5" ht="38.25" x14ac:dyDescent="0.2">
      <c r="A210" s="1519"/>
      <c r="B210" s="1516"/>
      <c r="C210" s="832" t="s">
        <v>1070</v>
      </c>
      <c r="D210" s="828" t="s">
        <v>920</v>
      </c>
      <c r="E210" s="1470"/>
    </row>
    <row r="211" spans="1:5" ht="25.5" x14ac:dyDescent="0.2">
      <c r="A211" s="1519"/>
      <c r="B211" s="1516"/>
      <c r="C211" s="832" t="s">
        <v>1071</v>
      </c>
      <c r="D211" s="828" t="s">
        <v>911</v>
      </c>
      <c r="E211" s="1470"/>
    </row>
    <row r="212" spans="1:5" ht="25.5" x14ac:dyDescent="0.2">
      <c r="A212" s="1519"/>
      <c r="B212" s="1516"/>
      <c r="C212" s="832" t="s">
        <v>1072</v>
      </c>
      <c r="D212" s="828" t="s">
        <v>912</v>
      </c>
      <c r="E212" s="1470"/>
    </row>
    <row r="213" spans="1:5" x14ac:dyDescent="0.2">
      <c r="A213" s="1519"/>
      <c r="B213" s="1516"/>
      <c r="C213" s="832" t="s">
        <v>1073</v>
      </c>
      <c r="D213" s="828" t="s">
        <v>917</v>
      </c>
      <c r="E213" s="1472"/>
    </row>
    <row r="214" spans="1:5" x14ac:dyDescent="0.2">
      <c r="A214" s="1519"/>
      <c r="B214" s="1516"/>
      <c r="C214" s="832" t="s">
        <v>1074</v>
      </c>
      <c r="D214" s="828" t="s">
        <v>915</v>
      </c>
      <c r="E214" s="1472"/>
    </row>
    <row r="215" spans="1:5" ht="25.5" x14ac:dyDescent="0.2">
      <c r="A215" s="1519"/>
      <c r="B215" s="1516"/>
      <c r="C215" s="832" t="s">
        <v>1075</v>
      </c>
      <c r="D215" s="830" t="s">
        <v>916</v>
      </c>
      <c r="E215" s="1472" t="s">
        <v>918</v>
      </c>
    </row>
    <row r="216" spans="1:5" ht="25.5" x14ac:dyDescent="0.2">
      <c r="A216" s="1519"/>
      <c r="B216" s="1516"/>
      <c r="C216" s="832" t="s">
        <v>620</v>
      </c>
      <c r="D216" s="828" t="s">
        <v>919</v>
      </c>
      <c r="E216" s="1472"/>
    </row>
    <row r="217" spans="1:5" ht="25.5" x14ac:dyDescent="0.2">
      <c r="A217" s="1519"/>
      <c r="B217" s="1516"/>
      <c r="C217" s="832" t="s">
        <v>1076</v>
      </c>
      <c r="D217" s="828" t="s">
        <v>926</v>
      </c>
      <c r="E217" s="1472"/>
    </row>
    <row r="218" spans="1:5" ht="25.5" x14ac:dyDescent="0.2">
      <c r="A218" s="1519"/>
      <c r="B218" s="1517"/>
      <c r="C218" s="837" t="s">
        <v>1077</v>
      </c>
      <c r="D218" s="829" t="s">
        <v>926</v>
      </c>
      <c r="E218" s="1473"/>
    </row>
    <row r="219" spans="1:5" ht="25.5" x14ac:dyDescent="0.2">
      <c r="A219" s="1520"/>
      <c r="B219" s="820" t="s">
        <v>679</v>
      </c>
      <c r="C219" s="818" t="s">
        <v>922</v>
      </c>
      <c r="D219" s="819" t="s">
        <v>923</v>
      </c>
      <c r="E219" s="1474"/>
    </row>
    <row r="220" spans="1:5" ht="51" x14ac:dyDescent="0.2">
      <c r="A220" s="1540">
        <v>45251</v>
      </c>
      <c r="B220" s="1539" t="s">
        <v>622</v>
      </c>
      <c r="C220" s="824" t="s">
        <v>929</v>
      </c>
      <c r="D220" s="838" t="s">
        <v>930</v>
      </c>
      <c r="E220" s="1475"/>
    </row>
    <row r="221" spans="1:5" ht="38.25" x14ac:dyDescent="0.2">
      <c r="A221" s="1539"/>
      <c r="B221" s="1539"/>
      <c r="C221" s="832" t="s">
        <v>1078</v>
      </c>
      <c r="D221" s="839" t="s">
        <v>931</v>
      </c>
      <c r="E221" s="1476"/>
    </row>
    <row r="222" spans="1:5" ht="38.25" x14ac:dyDescent="0.2">
      <c r="A222" s="1539"/>
      <c r="B222" s="1539"/>
      <c r="C222" s="837" t="s">
        <v>1079</v>
      </c>
      <c r="D222" s="829" t="s">
        <v>932</v>
      </c>
      <c r="E222" s="1477"/>
    </row>
    <row r="223" spans="1:5" x14ac:dyDescent="0.2">
      <c r="A223" s="817">
        <v>45251</v>
      </c>
      <c r="B223" s="818" t="s">
        <v>679</v>
      </c>
      <c r="C223" s="818" t="s">
        <v>951</v>
      </c>
      <c r="D223" s="819" t="s">
        <v>952</v>
      </c>
      <c r="E223" s="1474"/>
    </row>
    <row r="224" spans="1:5" ht="25.5" x14ac:dyDescent="0.2">
      <c r="A224" s="1555">
        <v>45257</v>
      </c>
      <c r="B224" s="821" t="s">
        <v>696</v>
      </c>
      <c r="C224" s="821" t="s">
        <v>784</v>
      </c>
      <c r="D224" s="822" t="s">
        <v>937</v>
      </c>
      <c r="E224" s="1478" t="s">
        <v>938</v>
      </c>
    </row>
    <row r="225" spans="1:6" ht="25.5" x14ac:dyDescent="0.2">
      <c r="A225" s="1556"/>
      <c r="B225" s="1552" t="s">
        <v>600</v>
      </c>
      <c r="C225" s="840" t="s">
        <v>940</v>
      </c>
      <c r="D225" s="841" t="s">
        <v>939</v>
      </c>
      <c r="E225" s="1479" t="s">
        <v>941</v>
      </c>
    </row>
    <row r="226" spans="1:6" x14ac:dyDescent="0.2">
      <c r="A226" s="1556"/>
      <c r="B226" s="1554"/>
      <c r="C226" s="842" t="s">
        <v>720</v>
      </c>
      <c r="D226" s="843" t="s">
        <v>962</v>
      </c>
      <c r="E226" s="1480"/>
    </row>
    <row r="227" spans="1:6" x14ac:dyDescent="0.2">
      <c r="A227" s="1556"/>
      <c r="B227" s="1552" t="s">
        <v>619</v>
      </c>
      <c r="C227" s="840" t="s">
        <v>942</v>
      </c>
      <c r="D227" s="841" t="s">
        <v>943</v>
      </c>
      <c r="E227" s="1479"/>
    </row>
    <row r="228" spans="1:6" x14ac:dyDescent="0.2">
      <c r="A228" s="1556"/>
      <c r="B228" s="1553"/>
      <c r="C228" s="844" t="s">
        <v>946</v>
      </c>
      <c r="D228" s="845" t="s">
        <v>944</v>
      </c>
      <c r="E228" s="1481"/>
    </row>
    <row r="229" spans="1:6" x14ac:dyDescent="0.2">
      <c r="A229" s="1556"/>
      <c r="B229" s="1553"/>
      <c r="C229" s="844" t="s">
        <v>947</v>
      </c>
      <c r="D229" s="845" t="s">
        <v>945</v>
      </c>
      <c r="E229" s="1481"/>
    </row>
    <row r="230" spans="1:6" ht="25.5" x14ac:dyDescent="0.2">
      <c r="A230" s="1556"/>
      <c r="B230" s="1554"/>
      <c r="C230" s="842" t="s">
        <v>950</v>
      </c>
      <c r="D230" s="843" t="s">
        <v>961</v>
      </c>
      <c r="E230" s="1480"/>
      <c r="F230" s="811"/>
    </row>
    <row r="231" spans="1:6" x14ac:dyDescent="0.2">
      <c r="A231" s="1556"/>
      <c r="B231" s="1552" t="s">
        <v>679</v>
      </c>
      <c r="C231" s="840" t="s">
        <v>702</v>
      </c>
      <c r="D231" s="841" t="s">
        <v>948</v>
      </c>
      <c r="E231" s="1479" t="s">
        <v>949</v>
      </c>
      <c r="F231" s="811"/>
    </row>
    <row r="232" spans="1:6" ht="25.5" x14ac:dyDescent="0.2">
      <c r="A232" s="1556"/>
      <c r="B232" s="1554"/>
      <c r="C232" s="842" t="s">
        <v>965</v>
      </c>
      <c r="D232" s="846" t="s">
        <v>964</v>
      </c>
      <c r="E232" s="1480" t="s">
        <v>963</v>
      </c>
      <c r="F232" s="811"/>
    </row>
    <row r="233" spans="1:6" ht="76.5" x14ac:dyDescent="0.2">
      <c r="A233" s="1556"/>
      <c r="B233" s="823"/>
      <c r="C233" s="821" t="s">
        <v>966</v>
      </c>
      <c r="D233" s="822" t="s">
        <v>967</v>
      </c>
      <c r="E233" s="1478" t="s">
        <v>963</v>
      </c>
      <c r="F233" s="811"/>
    </row>
    <row r="234" spans="1:6" ht="89.25" x14ac:dyDescent="0.2">
      <c r="A234" s="1556"/>
      <c r="B234" s="1552" t="s">
        <v>619</v>
      </c>
      <c r="C234" s="847" t="s">
        <v>953</v>
      </c>
      <c r="D234" s="848" t="s">
        <v>956</v>
      </c>
      <c r="E234" s="1482" t="s">
        <v>954</v>
      </c>
      <c r="F234" s="811"/>
    </row>
    <row r="235" spans="1:6" ht="38.25" x14ac:dyDescent="0.2">
      <c r="A235" s="1556"/>
      <c r="B235" s="1553"/>
      <c r="C235" s="849" t="s">
        <v>955</v>
      </c>
      <c r="D235" s="850" t="s">
        <v>957</v>
      </c>
      <c r="E235" s="1483" t="s">
        <v>958</v>
      </c>
      <c r="F235" s="811"/>
    </row>
    <row r="236" spans="1:6" ht="25.5" x14ac:dyDescent="0.2">
      <c r="A236" s="1556"/>
      <c r="B236" s="1553"/>
      <c r="C236" s="849" t="s">
        <v>959</v>
      </c>
      <c r="D236" s="850"/>
      <c r="E236" s="1483"/>
    </row>
    <row r="237" spans="1:6" ht="25.5" x14ac:dyDescent="0.2">
      <c r="A237" s="1557"/>
      <c r="B237" s="1554"/>
      <c r="C237" s="851" t="s">
        <v>960</v>
      </c>
      <c r="D237" s="852"/>
      <c r="E237" s="1484"/>
    </row>
    <row r="238" spans="1:6" x14ac:dyDescent="0.2">
      <c r="A238" s="855">
        <v>45265</v>
      </c>
      <c r="B238" s="820" t="s">
        <v>619</v>
      </c>
      <c r="C238" s="821" t="s">
        <v>1081</v>
      </c>
      <c r="D238" s="853" t="s">
        <v>1082</v>
      </c>
      <c r="E238" s="1474"/>
    </row>
    <row r="239" spans="1:6" ht="25.5" x14ac:dyDescent="0.2">
      <c r="A239" s="854"/>
      <c r="B239" s="820" t="s">
        <v>679</v>
      </c>
      <c r="C239" s="821" t="s">
        <v>702</v>
      </c>
      <c r="D239" s="822" t="s">
        <v>1083</v>
      </c>
      <c r="E239" s="1474"/>
    </row>
    <row r="240" spans="1:6" x14ac:dyDescent="0.2">
      <c r="A240" s="1513">
        <v>45267</v>
      </c>
      <c r="B240" s="820" t="s">
        <v>679</v>
      </c>
      <c r="C240" s="858" t="s">
        <v>979</v>
      </c>
      <c r="D240" s="859" t="s">
        <v>1084</v>
      </c>
      <c r="E240" s="138"/>
    </row>
    <row r="241" spans="1:5" x14ac:dyDescent="0.2">
      <c r="A241" s="1514"/>
      <c r="B241" s="820" t="s">
        <v>619</v>
      </c>
      <c r="C241" s="858" t="s">
        <v>1085</v>
      </c>
      <c r="D241" s="822" t="str">
        <f>D240</f>
        <v>Schreibschutz entfernt</v>
      </c>
      <c r="E241" s="138"/>
    </row>
    <row r="242" spans="1:5" ht="25.5" x14ac:dyDescent="0.2">
      <c r="A242" s="1491">
        <v>45456</v>
      </c>
      <c r="B242" s="1448" t="s">
        <v>600</v>
      </c>
      <c r="C242" s="1452" t="s">
        <v>1087</v>
      </c>
      <c r="D242" s="863" t="s">
        <v>1088</v>
      </c>
      <c r="E242" s="129"/>
    </row>
    <row r="243" spans="1:5" ht="38.25" x14ac:dyDescent="0.2">
      <c r="A243" s="1434"/>
      <c r="B243" s="928" t="s">
        <v>679</v>
      </c>
      <c r="C243" s="862" t="s">
        <v>1089</v>
      </c>
      <c r="D243" s="877" t="s">
        <v>1093</v>
      </c>
      <c r="E243" s="8"/>
    </row>
    <row r="244" spans="1:5" ht="25.5" x14ac:dyDescent="0.2">
      <c r="A244" s="1434"/>
      <c r="B244" s="928"/>
      <c r="C244" s="878" t="s">
        <v>1094</v>
      </c>
      <c r="D244" s="877" t="s">
        <v>1095</v>
      </c>
      <c r="E244" s="8"/>
    </row>
    <row r="245" spans="1:5" ht="25.5" x14ac:dyDescent="0.2">
      <c r="A245" s="1434"/>
      <c r="B245" s="418"/>
      <c r="C245" s="878" t="s">
        <v>1096</v>
      </c>
      <c r="D245" s="877" t="s">
        <v>1097</v>
      </c>
      <c r="E245" s="8"/>
    </row>
    <row r="246" spans="1:5" x14ac:dyDescent="0.2">
      <c r="A246" s="1434"/>
      <c r="B246" s="418"/>
      <c r="C246" s="878" t="s">
        <v>1101</v>
      </c>
      <c r="D246" s="877" t="s">
        <v>1103</v>
      </c>
      <c r="E246" s="8"/>
    </row>
    <row r="247" spans="1:5" x14ac:dyDescent="0.2">
      <c r="A247" s="1434"/>
      <c r="B247" s="418"/>
      <c r="C247" s="878" t="s">
        <v>1102</v>
      </c>
      <c r="D247" s="877" t="s">
        <v>1100</v>
      </c>
      <c r="E247" s="8"/>
    </row>
    <row r="248" spans="1:5" ht="25.5" x14ac:dyDescent="0.2">
      <c r="A248" s="1434"/>
      <c r="B248" s="418"/>
      <c r="C248" s="878" t="s">
        <v>1104</v>
      </c>
      <c r="D248" s="877" t="s">
        <v>1105</v>
      </c>
      <c r="E248" s="8"/>
    </row>
    <row r="249" spans="1:5" ht="25.5" x14ac:dyDescent="0.2">
      <c r="A249" s="1434"/>
      <c r="B249" s="418"/>
      <c r="C249" s="878" t="s">
        <v>1106</v>
      </c>
      <c r="D249" s="877" t="s">
        <v>1107</v>
      </c>
      <c r="E249" s="8"/>
    </row>
    <row r="250" spans="1:5" ht="25.5" x14ac:dyDescent="0.2">
      <c r="A250" s="1434"/>
      <c r="B250" s="418"/>
      <c r="C250" s="878" t="s">
        <v>1102</v>
      </c>
      <c r="D250" s="877" t="s">
        <v>1108</v>
      </c>
      <c r="E250" s="8"/>
    </row>
    <row r="251" spans="1:5" x14ac:dyDescent="0.2">
      <c r="A251" s="1435"/>
      <c r="B251" s="1449"/>
      <c r="C251" s="878" t="s">
        <v>1181</v>
      </c>
      <c r="D251" s="877"/>
      <c r="E251" s="1437"/>
    </row>
    <row r="252" spans="1:5" x14ac:dyDescent="0.2">
      <c r="A252" s="1435"/>
      <c r="B252" s="1449"/>
      <c r="C252" s="878" t="s">
        <v>1180</v>
      </c>
      <c r="D252" s="877" t="s">
        <v>1186</v>
      </c>
      <c r="E252" s="1437"/>
    </row>
    <row r="253" spans="1:5" x14ac:dyDescent="0.2">
      <c r="A253" s="1435"/>
      <c r="B253" s="1449"/>
      <c r="C253" s="878" t="s">
        <v>1182</v>
      </c>
      <c r="D253" s="877" t="s">
        <v>1187</v>
      </c>
      <c r="E253" s="1437"/>
    </row>
    <row r="254" spans="1:5" ht="25.5" x14ac:dyDescent="0.2">
      <c r="A254" s="1435"/>
      <c r="B254" s="1449"/>
      <c r="C254" s="878" t="s">
        <v>1189</v>
      </c>
      <c r="D254" s="877" t="s">
        <v>1183</v>
      </c>
      <c r="E254" s="1437"/>
    </row>
    <row r="255" spans="1:5" x14ac:dyDescent="0.2">
      <c r="A255" s="1435"/>
      <c r="B255" s="1449"/>
      <c r="C255" s="878" t="s">
        <v>1188</v>
      </c>
      <c r="D255" s="877" t="s">
        <v>1149</v>
      </c>
      <c r="E255" s="1437"/>
    </row>
    <row r="256" spans="1:5" ht="25.5" x14ac:dyDescent="0.2">
      <c r="A256" s="1435"/>
      <c r="B256" s="1449" t="s">
        <v>619</v>
      </c>
      <c r="C256" s="878" t="s">
        <v>1124</v>
      </c>
      <c r="D256" s="877" t="s">
        <v>1125</v>
      </c>
      <c r="E256" s="1437"/>
    </row>
    <row r="257" spans="1:5" x14ac:dyDescent="0.2">
      <c r="A257" s="1435"/>
      <c r="B257" s="1449"/>
      <c r="C257" s="878" t="s">
        <v>1126</v>
      </c>
      <c r="D257" s="877" t="s">
        <v>1127</v>
      </c>
      <c r="E257" s="1437"/>
    </row>
    <row r="258" spans="1:5" x14ac:dyDescent="0.2">
      <c r="A258" s="1435"/>
      <c r="B258" s="1449"/>
      <c r="C258" s="878" t="s">
        <v>1128</v>
      </c>
      <c r="D258" s="877" t="s">
        <v>1129</v>
      </c>
      <c r="E258" s="1437"/>
    </row>
    <row r="259" spans="1:5" x14ac:dyDescent="0.2">
      <c r="A259" s="1435"/>
      <c r="B259" s="1449"/>
      <c r="C259" s="878" t="s">
        <v>1130</v>
      </c>
      <c r="D259" s="877" t="s">
        <v>1131</v>
      </c>
      <c r="E259" s="1437"/>
    </row>
    <row r="260" spans="1:5" x14ac:dyDescent="0.2">
      <c r="A260" s="1435"/>
      <c r="B260" s="1449"/>
      <c r="C260" s="878" t="s">
        <v>1132</v>
      </c>
      <c r="D260" s="877" t="s">
        <v>1133</v>
      </c>
      <c r="E260" s="1437"/>
    </row>
    <row r="261" spans="1:5" x14ac:dyDescent="0.2">
      <c r="A261" s="1435"/>
      <c r="B261" s="1449"/>
      <c r="C261" s="878" t="s">
        <v>1134</v>
      </c>
      <c r="D261" s="1449" t="s">
        <v>1137</v>
      </c>
      <c r="E261" s="1437"/>
    </row>
    <row r="262" spans="1:5" x14ac:dyDescent="0.2">
      <c r="A262" s="1435"/>
      <c r="B262" s="1449"/>
      <c r="C262" s="878" t="s">
        <v>1135</v>
      </c>
      <c r="D262" s="1449" t="s">
        <v>1138</v>
      </c>
      <c r="E262" s="1437"/>
    </row>
    <row r="263" spans="1:5" x14ac:dyDescent="0.2">
      <c r="A263" s="1435"/>
      <c r="B263" s="1449"/>
      <c r="C263" s="878" t="s">
        <v>1136</v>
      </c>
      <c r="D263" s="1449" t="s">
        <v>1139</v>
      </c>
      <c r="E263" s="1437"/>
    </row>
    <row r="264" spans="1:5" x14ac:dyDescent="0.2">
      <c r="A264" s="1435"/>
      <c r="B264" s="1449"/>
      <c r="C264" s="878" t="s">
        <v>1142</v>
      </c>
      <c r="D264" s="1449"/>
      <c r="E264" s="1437"/>
    </row>
    <row r="265" spans="1:5" x14ac:dyDescent="0.2">
      <c r="A265" s="1435"/>
      <c r="B265" s="1449"/>
      <c r="C265" s="878" t="s">
        <v>1148</v>
      </c>
      <c r="D265" s="1449" t="s">
        <v>1143</v>
      </c>
      <c r="E265" s="1437"/>
    </row>
    <row r="266" spans="1:5" x14ac:dyDescent="0.2">
      <c r="A266" s="1435"/>
      <c r="B266" s="1449"/>
      <c r="C266" s="878" t="s">
        <v>1144</v>
      </c>
      <c r="D266" s="1449" t="s">
        <v>1145</v>
      </c>
      <c r="E266" s="1437"/>
    </row>
    <row r="267" spans="1:5" x14ac:dyDescent="0.2">
      <c r="A267" s="1435"/>
      <c r="B267" s="1449"/>
      <c r="C267" s="878" t="s">
        <v>1146</v>
      </c>
      <c r="D267" s="1449" t="s">
        <v>1147</v>
      </c>
      <c r="E267" s="1437"/>
    </row>
    <row r="268" spans="1:5" x14ac:dyDescent="0.2">
      <c r="A268" s="1435"/>
      <c r="B268" s="1449"/>
      <c r="C268" s="878" t="s">
        <v>1150</v>
      </c>
      <c r="D268" s="1449" t="s">
        <v>1149</v>
      </c>
      <c r="E268" s="1437"/>
    </row>
    <row r="269" spans="1:5" x14ac:dyDescent="0.2">
      <c r="A269" s="1435"/>
      <c r="B269" s="1449"/>
      <c r="C269" s="878" t="s">
        <v>1151</v>
      </c>
      <c r="D269" s="1449" t="s">
        <v>1152</v>
      </c>
      <c r="E269" s="1437"/>
    </row>
    <row r="270" spans="1:5" x14ac:dyDescent="0.2">
      <c r="A270" s="1435"/>
      <c r="B270" s="1449"/>
      <c r="C270" s="1449"/>
      <c r="D270" s="1449" t="s">
        <v>1165</v>
      </c>
      <c r="E270" s="1437"/>
    </row>
    <row r="271" spans="1:5" x14ac:dyDescent="0.2">
      <c r="A271" s="1435"/>
      <c r="B271" s="1449"/>
      <c r="C271" s="878" t="s">
        <v>1153</v>
      </c>
      <c r="D271" s="1449" t="s">
        <v>1154</v>
      </c>
      <c r="E271" s="1437"/>
    </row>
    <row r="272" spans="1:5" x14ac:dyDescent="0.2">
      <c r="A272" s="1435"/>
      <c r="B272" s="1449" t="s">
        <v>630</v>
      </c>
      <c r="C272" s="878" t="s">
        <v>1155</v>
      </c>
      <c r="D272" s="1449" t="s">
        <v>1156</v>
      </c>
      <c r="E272" s="1437"/>
    </row>
    <row r="273" spans="1:5" x14ac:dyDescent="0.2">
      <c r="A273" s="1435"/>
      <c r="B273" s="1449" t="s">
        <v>1157</v>
      </c>
      <c r="C273" s="878" t="s">
        <v>1158</v>
      </c>
      <c r="D273" s="1449" t="s">
        <v>1159</v>
      </c>
      <c r="E273" s="1437"/>
    </row>
    <row r="274" spans="1:5" x14ac:dyDescent="0.2">
      <c r="A274" s="1435"/>
      <c r="B274" s="1449" t="s">
        <v>622</v>
      </c>
      <c r="C274" s="878" t="s">
        <v>1160</v>
      </c>
      <c r="D274" s="1449" t="s">
        <v>1161</v>
      </c>
      <c r="E274" s="1437"/>
    </row>
    <row r="275" spans="1:5" x14ac:dyDescent="0.2">
      <c r="A275" s="1435"/>
      <c r="B275" s="1449"/>
      <c r="C275" s="878" t="s">
        <v>1220</v>
      </c>
      <c r="D275" s="1449" t="s">
        <v>1162</v>
      </c>
      <c r="E275" s="1437"/>
    </row>
    <row r="276" spans="1:5" x14ac:dyDescent="0.2">
      <c r="A276" s="1435"/>
      <c r="B276" s="1449"/>
      <c r="C276" s="878" t="s">
        <v>1167</v>
      </c>
      <c r="D276" s="1449" t="s">
        <v>1166</v>
      </c>
      <c r="E276" s="1437"/>
    </row>
    <row r="277" spans="1:5" x14ac:dyDescent="0.2">
      <c r="A277" s="1435"/>
      <c r="B277" s="1449"/>
      <c r="C277" s="878" t="s">
        <v>1169</v>
      </c>
      <c r="D277" s="1449" t="s">
        <v>1168</v>
      </c>
      <c r="E277" s="1437"/>
    </row>
    <row r="278" spans="1:5" x14ac:dyDescent="0.2">
      <c r="A278" s="1435"/>
      <c r="B278" s="1449"/>
      <c r="C278" s="878" t="s">
        <v>1171</v>
      </c>
      <c r="D278" s="1449" t="s">
        <v>1170</v>
      </c>
      <c r="E278" s="1437"/>
    </row>
    <row r="279" spans="1:5" x14ac:dyDescent="0.2">
      <c r="A279" s="1435"/>
      <c r="B279" s="1449"/>
      <c r="C279" s="878" t="s">
        <v>1172</v>
      </c>
      <c r="D279" s="1449" t="s">
        <v>1173</v>
      </c>
      <c r="E279" s="1437"/>
    </row>
    <row r="280" spans="1:5" x14ac:dyDescent="0.2">
      <c r="A280" s="1435"/>
      <c r="B280" s="1449"/>
      <c r="C280" s="878" t="s">
        <v>1174</v>
      </c>
      <c r="D280" s="1449" t="s">
        <v>1175</v>
      </c>
      <c r="E280" s="1437"/>
    </row>
    <row r="281" spans="1:5" x14ac:dyDescent="0.2">
      <c r="A281" s="1435"/>
      <c r="B281" s="1449"/>
      <c r="C281" s="878" t="s">
        <v>1176</v>
      </c>
      <c r="D281" s="1449"/>
      <c r="E281" s="1437"/>
    </row>
    <row r="282" spans="1:5" x14ac:dyDescent="0.2">
      <c r="A282" s="1435"/>
      <c r="B282" s="1449"/>
      <c r="C282" s="878" t="s">
        <v>1177</v>
      </c>
      <c r="D282" s="1449" t="s">
        <v>1178</v>
      </c>
      <c r="E282" s="1437"/>
    </row>
    <row r="283" spans="1:5" x14ac:dyDescent="0.2">
      <c r="A283" s="1435"/>
      <c r="B283" s="1449"/>
      <c r="C283" s="878" t="s">
        <v>793</v>
      </c>
      <c r="D283" s="1449" t="s">
        <v>1179</v>
      </c>
      <c r="E283" s="1437"/>
    </row>
    <row r="284" spans="1:5" x14ac:dyDescent="0.2">
      <c r="A284" s="1435"/>
      <c r="B284" s="1449"/>
      <c r="C284" s="878" t="s">
        <v>1190</v>
      </c>
      <c r="D284" s="1449" t="s">
        <v>1183</v>
      </c>
      <c r="E284" s="1437"/>
    </row>
    <row r="285" spans="1:5" x14ac:dyDescent="0.2">
      <c r="A285" s="1494">
        <v>45525</v>
      </c>
      <c r="B285" s="1492" t="s">
        <v>619</v>
      </c>
      <c r="C285" s="1492" t="s">
        <v>1191</v>
      </c>
      <c r="D285" s="1492" t="s">
        <v>1192</v>
      </c>
      <c r="E285" s="1493"/>
    </row>
    <row r="286" spans="1:5" x14ac:dyDescent="0.2">
      <c r="A286" s="1435"/>
      <c r="B286" s="1449"/>
      <c r="C286" s="1449" t="s">
        <v>1196</v>
      </c>
      <c r="D286" s="1449" t="s">
        <v>1199</v>
      </c>
      <c r="E286" s="1437"/>
    </row>
    <row r="287" spans="1:5" x14ac:dyDescent="0.2">
      <c r="A287" s="1435"/>
      <c r="B287" s="1449"/>
      <c r="C287" s="1449" t="s">
        <v>1197</v>
      </c>
      <c r="D287" s="1449" t="s">
        <v>1200</v>
      </c>
      <c r="E287" s="1437"/>
    </row>
    <row r="288" spans="1:5" x14ac:dyDescent="0.2">
      <c r="A288" s="1435"/>
      <c r="B288" s="1449"/>
      <c r="C288" s="1449" t="s">
        <v>1194</v>
      </c>
      <c r="D288" s="1449" t="s">
        <v>1201</v>
      </c>
      <c r="E288" s="1437"/>
    </row>
    <row r="289" spans="1:5" x14ac:dyDescent="0.2">
      <c r="A289" s="1435"/>
      <c r="B289" s="1449"/>
      <c r="C289" s="1449" t="s">
        <v>1202</v>
      </c>
      <c r="D289" s="1449" t="s">
        <v>1195</v>
      </c>
      <c r="E289" s="1437"/>
    </row>
    <row r="290" spans="1:5" x14ac:dyDescent="0.2">
      <c r="A290" s="1435"/>
      <c r="B290" s="1449"/>
      <c r="C290" s="1449" t="s">
        <v>1229</v>
      </c>
      <c r="D290" s="1449" t="s">
        <v>1230</v>
      </c>
      <c r="E290" s="1437"/>
    </row>
    <row r="291" spans="1:5" x14ac:dyDescent="0.2">
      <c r="A291" s="1435"/>
      <c r="B291" s="1449"/>
      <c r="C291" s="1449" t="s">
        <v>1231</v>
      </c>
      <c r="D291" s="1449" t="s">
        <v>1232</v>
      </c>
      <c r="E291" s="1437"/>
    </row>
    <row r="292" spans="1:5" x14ac:dyDescent="0.2">
      <c r="A292" s="1435"/>
      <c r="B292" s="1449" t="s">
        <v>679</v>
      </c>
      <c r="C292" s="1449" t="s">
        <v>1210</v>
      </c>
      <c r="D292" s="1449" t="s">
        <v>1206</v>
      </c>
      <c r="E292" s="1437"/>
    </row>
    <row r="293" spans="1:5" x14ac:dyDescent="0.2">
      <c r="A293" s="1435"/>
      <c r="B293" s="1449"/>
      <c r="C293" s="1449" t="s">
        <v>1205</v>
      </c>
      <c r="D293" s="1449" t="s">
        <v>1211</v>
      </c>
      <c r="E293" s="1437"/>
    </row>
    <row r="294" spans="1:5" x14ac:dyDescent="0.2">
      <c r="A294" s="1435"/>
      <c r="B294" s="1449"/>
      <c r="C294" s="1449" t="s">
        <v>1207</v>
      </c>
      <c r="D294" s="1449" t="s">
        <v>1228</v>
      </c>
      <c r="E294" s="1437"/>
    </row>
    <row r="295" spans="1:5" x14ac:dyDescent="0.2">
      <c r="A295" s="1435"/>
      <c r="B295" s="1449"/>
      <c r="C295" s="1449" t="s">
        <v>1212</v>
      </c>
      <c r="D295" s="1449" t="s">
        <v>1213</v>
      </c>
      <c r="E295" s="1437"/>
    </row>
    <row r="296" spans="1:5" x14ac:dyDescent="0.2">
      <c r="A296" s="1435"/>
      <c r="B296" s="418"/>
      <c r="C296" s="1449" t="s">
        <v>1214</v>
      </c>
      <c r="D296" s="1449" t="s">
        <v>1233</v>
      </c>
      <c r="E296" s="1437"/>
    </row>
    <row r="297" spans="1:5" x14ac:dyDescent="0.2">
      <c r="A297" s="1435"/>
      <c r="B297" s="418"/>
      <c r="C297" s="1449" t="s">
        <v>1215</v>
      </c>
      <c r="D297" s="1449" t="s">
        <v>1234</v>
      </c>
      <c r="E297" s="1437"/>
    </row>
    <row r="298" spans="1:5" x14ac:dyDescent="0.2">
      <c r="A298" s="1435"/>
      <c r="B298" s="418"/>
      <c r="C298" s="1449" t="s">
        <v>1216</v>
      </c>
      <c r="D298" s="1449" t="s">
        <v>1217</v>
      </c>
      <c r="E298" s="1437"/>
    </row>
    <row r="299" spans="1:5" x14ac:dyDescent="0.2">
      <c r="A299" s="1435"/>
      <c r="B299" s="418"/>
      <c r="C299" s="1449" t="s">
        <v>1218</v>
      </c>
      <c r="D299" s="1449" t="s">
        <v>1219</v>
      </c>
      <c r="E299" s="1437"/>
    </row>
    <row r="300" spans="1:5" x14ac:dyDescent="0.2">
      <c r="A300" s="1435"/>
      <c r="B300" s="1449" t="s">
        <v>696</v>
      </c>
      <c r="C300" s="1449" t="s">
        <v>1208</v>
      </c>
      <c r="D300" s="1449" t="s">
        <v>1209</v>
      </c>
      <c r="E300" s="1437"/>
    </row>
    <row r="301" spans="1:5" x14ac:dyDescent="0.2">
      <c r="A301" s="1435"/>
      <c r="B301" s="1449" t="s">
        <v>622</v>
      </c>
      <c r="C301" s="1449" t="s">
        <v>1203</v>
      </c>
      <c r="D301" s="1449" t="s">
        <v>1204</v>
      </c>
      <c r="E301" s="1437"/>
    </row>
    <row r="302" spans="1:5" x14ac:dyDescent="0.2">
      <c r="A302" s="1435"/>
      <c r="B302" s="1449"/>
      <c r="C302" s="1449" t="s">
        <v>1220</v>
      </c>
      <c r="D302" s="1449" t="s">
        <v>1221</v>
      </c>
      <c r="E302" s="1437"/>
    </row>
    <row r="303" spans="1:5" x14ac:dyDescent="0.2">
      <c r="A303" s="1435"/>
      <c r="B303" s="418" t="s">
        <v>600</v>
      </c>
      <c r="C303" s="1449" t="s">
        <v>1227</v>
      </c>
      <c r="D303" s="1449" t="s">
        <v>1226</v>
      </c>
      <c r="E303" s="1437"/>
    </row>
    <row r="304" spans="1:5" x14ac:dyDescent="0.2">
      <c r="A304" s="1435"/>
      <c r="B304" s="1449" t="s">
        <v>0</v>
      </c>
      <c r="C304" s="1449" t="s">
        <v>1235</v>
      </c>
      <c r="D304" s="1449" t="s">
        <v>1236</v>
      </c>
      <c r="E304" s="1437"/>
    </row>
    <row r="305" spans="1:5" x14ac:dyDescent="0.2">
      <c r="A305" s="1435"/>
      <c r="B305" s="1449" t="s">
        <v>1224</v>
      </c>
      <c r="C305" s="1449"/>
      <c r="D305" s="1449" t="s">
        <v>1225</v>
      </c>
      <c r="E305" s="1437"/>
    </row>
    <row r="306" spans="1:5" x14ac:dyDescent="0.2">
      <c r="A306" s="1494">
        <v>45540</v>
      </c>
      <c r="B306" s="1495" t="s">
        <v>1237</v>
      </c>
      <c r="C306" s="1495" t="s">
        <v>1238</v>
      </c>
      <c r="D306" s="1492"/>
      <c r="E306" s="1493"/>
    </row>
    <row r="307" spans="1:5" x14ac:dyDescent="0.2">
      <c r="A307" s="1435"/>
      <c r="B307" s="1450" t="s">
        <v>0</v>
      </c>
      <c r="C307" s="1450" t="s">
        <v>1235</v>
      </c>
      <c r="D307" s="1485">
        <v>45540</v>
      </c>
      <c r="E307" s="1437"/>
    </row>
    <row r="308" spans="1:5" x14ac:dyDescent="0.2">
      <c r="A308" s="1435"/>
      <c r="B308" s="1449"/>
      <c r="C308" s="1450" t="s">
        <v>1249</v>
      </c>
      <c r="D308" s="1450" t="s">
        <v>1250</v>
      </c>
      <c r="E308" s="1437"/>
    </row>
    <row r="309" spans="1:5" x14ac:dyDescent="0.2">
      <c r="A309" s="1435"/>
      <c r="B309" s="1449"/>
      <c r="C309" s="1450" t="s">
        <v>1251</v>
      </c>
      <c r="D309" s="1450" t="s">
        <v>1252</v>
      </c>
      <c r="E309" s="1437"/>
    </row>
    <row r="310" spans="1:5" x14ac:dyDescent="0.2">
      <c r="A310" s="1435"/>
      <c r="B310" s="1450" t="s">
        <v>1156</v>
      </c>
      <c r="C310" s="1450" t="s">
        <v>1251</v>
      </c>
      <c r="D310" s="1450" t="s">
        <v>1252</v>
      </c>
      <c r="E310" s="1437"/>
    </row>
    <row r="311" spans="1:5" x14ac:dyDescent="0.2">
      <c r="A311" s="1435"/>
      <c r="B311" s="1450" t="s">
        <v>1254</v>
      </c>
      <c r="C311" s="1450" t="s">
        <v>1214</v>
      </c>
      <c r="D311" s="1449" t="s">
        <v>1253</v>
      </c>
      <c r="E311" s="1437"/>
    </row>
    <row r="312" spans="1:5" x14ac:dyDescent="0.2">
      <c r="A312" s="1435"/>
      <c r="B312" s="1449"/>
      <c r="C312" s="1450" t="s">
        <v>1215</v>
      </c>
      <c r="D312" s="1449" t="s">
        <v>1255</v>
      </c>
      <c r="E312" s="1437"/>
    </row>
    <row r="313" spans="1:5" x14ac:dyDescent="0.2">
      <c r="A313" s="1435"/>
      <c r="B313" s="1450" t="s">
        <v>1257</v>
      </c>
      <c r="C313" s="1450" t="s">
        <v>1258</v>
      </c>
      <c r="D313" s="1449"/>
      <c r="E313" s="1437"/>
    </row>
    <row r="314" spans="1:5" x14ac:dyDescent="0.2">
      <c r="A314" s="1494">
        <v>45607</v>
      </c>
      <c r="B314" s="1496" t="s">
        <v>696</v>
      </c>
      <c r="C314" s="1496" t="s">
        <v>1260</v>
      </c>
      <c r="D314" s="1496" t="s">
        <v>1261</v>
      </c>
      <c r="E314" s="1493"/>
    </row>
    <row r="315" spans="1:5" x14ac:dyDescent="0.2">
      <c r="A315" s="1435"/>
      <c r="B315" s="1449"/>
      <c r="C315" s="1451" t="s">
        <v>1235</v>
      </c>
      <c r="D315" s="1485">
        <v>45608</v>
      </c>
      <c r="E315" s="1437"/>
    </row>
    <row r="316" spans="1:5" x14ac:dyDescent="0.2">
      <c r="A316" s="1435"/>
      <c r="B316" s="1449"/>
      <c r="C316" s="1451" t="s">
        <v>1316</v>
      </c>
      <c r="D316" s="1486" t="s">
        <v>1317</v>
      </c>
      <c r="E316" s="1437"/>
    </row>
    <row r="317" spans="1:5" x14ac:dyDescent="0.2">
      <c r="A317" s="1435"/>
      <c r="B317" s="1451" t="s">
        <v>1263</v>
      </c>
      <c r="C317" s="1451" t="s">
        <v>1264</v>
      </c>
      <c r="D317" s="1451" t="s">
        <v>1265</v>
      </c>
      <c r="E317" s="1437"/>
    </row>
    <row r="318" spans="1:5" x14ac:dyDescent="0.2">
      <c r="A318" s="1435"/>
      <c r="B318" s="1449"/>
      <c r="C318" s="1451" t="s">
        <v>1266</v>
      </c>
      <c r="D318" s="1451" t="s">
        <v>1267</v>
      </c>
      <c r="E318" s="1437"/>
    </row>
    <row r="319" spans="1:5" x14ac:dyDescent="0.2">
      <c r="A319" s="1435"/>
      <c r="B319" s="1449"/>
      <c r="C319" s="1451" t="s">
        <v>726</v>
      </c>
      <c r="D319" s="1487">
        <v>0.64</v>
      </c>
      <c r="E319" s="1437"/>
    </row>
    <row r="320" spans="1:5" x14ac:dyDescent="0.2">
      <c r="A320" s="1435"/>
      <c r="B320" s="1449"/>
      <c r="C320" s="1451" t="s">
        <v>1269</v>
      </c>
      <c r="D320" s="1488" t="s">
        <v>1270</v>
      </c>
      <c r="E320" s="1437"/>
    </row>
    <row r="321" spans="1:7" x14ac:dyDescent="0.2">
      <c r="A321" s="1435"/>
      <c r="B321" s="1449"/>
      <c r="C321" s="1451" t="s">
        <v>1277</v>
      </c>
      <c r="D321" s="1451" t="s">
        <v>1278</v>
      </c>
      <c r="E321" s="1437"/>
    </row>
    <row r="322" spans="1:7" x14ac:dyDescent="0.2">
      <c r="A322" s="1435"/>
      <c r="B322" s="1449"/>
      <c r="C322" s="1451" t="s">
        <v>1279</v>
      </c>
      <c r="D322" s="1451" t="s">
        <v>1280</v>
      </c>
      <c r="E322" s="1437"/>
    </row>
    <row r="323" spans="1:7" x14ac:dyDescent="0.2">
      <c r="A323" s="1435"/>
      <c r="B323" s="1449"/>
      <c r="C323" s="1451" t="s">
        <v>1296</v>
      </c>
      <c r="D323" s="1451" t="s">
        <v>1297</v>
      </c>
      <c r="E323" s="1437"/>
    </row>
    <row r="324" spans="1:7" x14ac:dyDescent="0.2">
      <c r="A324" s="1435"/>
      <c r="B324" s="1449"/>
      <c r="C324" s="1451"/>
      <c r="D324" s="1451"/>
      <c r="E324" s="1437"/>
    </row>
    <row r="325" spans="1:7" x14ac:dyDescent="0.2">
      <c r="A325" s="1435"/>
      <c r="B325" s="1449"/>
      <c r="C325" s="1451"/>
      <c r="D325" s="1451"/>
      <c r="E325" s="1437"/>
    </row>
    <row r="326" spans="1:7" x14ac:dyDescent="0.2">
      <c r="A326" s="1435"/>
      <c r="B326" s="1437"/>
      <c r="C326" s="1451"/>
      <c r="D326" s="1451"/>
      <c r="E326" s="1437"/>
    </row>
    <row r="327" spans="1:7" x14ac:dyDescent="0.2">
      <c r="A327" s="1435"/>
      <c r="B327" s="1437"/>
      <c r="C327" s="1451"/>
      <c r="D327" s="1451"/>
      <c r="E327" s="1437"/>
    </row>
    <row r="328" spans="1:7" x14ac:dyDescent="0.2">
      <c r="A328" s="1435"/>
      <c r="B328" s="1437"/>
      <c r="C328" s="1451"/>
      <c r="D328" s="1451"/>
      <c r="E328" s="1437"/>
    </row>
    <row r="329" spans="1:7" x14ac:dyDescent="0.2">
      <c r="A329" s="1435"/>
      <c r="B329" s="1437"/>
      <c r="C329" s="1451"/>
      <c r="D329" s="1451"/>
      <c r="E329" s="1437"/>
    </row>
    <row r="330" spans="1:7" x14ac:dyDescent="0.2">
      <c r="A330" s="1435"/>
      <c r="B330" s="1437"/>
      <c r="C330" s="1451"/>
      <c r="D330" s="1451"/>
      <c r="E330" s="1437"/>
    </row>
    <row r="331" spans="1:7" x14ac:dyDescent="0.2">
      <c r="A331" s="1435"/>
      <c r="B331" s="1438" t="s">
        <v>679</v>
      </c>
      <c r="C331" s="1451" t="s">
        <v>634</v>
      </c>
      <c r="D331" s="1451" t="s">
        <v>1281</v>
      </c>
      <c r="E331" s="1437"/>
    </row>
    <row r="332" spans="1:7" x14ac:dyDescent="0.2">
      <c r="A332" s="1435"/>
      <c r="B332" s="1437"/>
      <c r="C332" s="1451" t="s">
        <v>646</v>
      </c>
      <c r="D332" s="1451" t="s">
        <v>1282</v>
      </c>
      <c r="E332" s="1437"/>
    </row>
    <row r="333" spans="1:7" x14ac:dyDescent="0.2">
      <c r="A333" s="1435"/>
      <c r="B333" s="1437"/>
      <c r="C333" s="1451" t="s">
        <v>1289</v>
      </c>
      <c r="D333" s="1451" t="s">
        <v>1290</v>
      </c>
      <c r="E333" s="1437"/>
    </row>
    <row r="334" spans="1:7" x14ac:dyDescent="0.2">
      <c r="A334" s="1435"/>
      <c r="B334" s="1437"/>
      <c r="C334" s="1451" t="s">
        <v>1299</v>
      </c>
      <c r="D334" s="1451" t="s">
        <v>1298</v>
      </c>
      <c r="E334" s="1437"/>
    </row>
    <row r="335" spans="1:7" x14ac:dyDescent="0.2">
      <c r="A335" s="1435"/>
      <c r="B335" s="1437"/>
      <c r="C335" s="1451" t="s">
        <v>1301</v>
      </c>
      <c r="D335" s="1451" t="s">
        <v>1300</v>
      </c>
      <c r="E335" s="1437"/>
    </row>
    <row r="336" spans="1:7" x14ac:dyDescent="0.2">
      <c r="A336" s="1435"/>
      <c r="B336" s="1437"/>
      <c r="C336" s="1453" t="s">
        <v>1319</v>
      </c>
      <c r="D336" s="1453" t="s">
        <v>1320</v>
      </c>
      <c r="E336" s="1490"/>
      <c r="F336" s="1"/>
      <c r="G336" s="1"/>
    </row>
    <row r="337" spans="1:7" x14ac:dyDescent="0.2">
      <c r="A337" s="1435"/>
      <c r="B337" s="1437"/>
      <c r="C337" s="1453" t="s">
        <v>1321</v>
      </c>
      <c r="D337" s="1453" t="s">
        <v>1320</v>
      </c>
      <c r="E337" s="1490"/>
      <c r="F337" s="1"/>
      <c r="G337" s="1"/>
    </row>
    <row r="338" spans="1:7" x14ac:dyDescent="0.2">
      <c r="A338" s="1435"/>
      <c r="B338" s="1437"/>
      <c r="C338" s="1451" t="s">
        <v>1327</v>
      </c>
      <c r="D338" s="1451" t="s">
        <v>1328</v>
      </c>
      <c r="E338" s="1437"/>
    </row>
    <row r="339" spans="1:7" x14ac:dyDescent="0.2">
      <c r="A339" s="1435"/>
      <c r="B339" s="1437"/>
      <c r="C339" s="1451"/>
      <c r="D339" s="1451"/>
      <c r="E339" s="1437"/>
    </row>
    <row r="340" spans="1:7" x14ac:dyDescent="0.2">
      <c r="A340" s="1435"/>
      <c r="B340" s="1438" t="s">
        <v>1325</v>
      </c>
      <c r="C340" s="1451"/>
      <c r="D340" s="1453" t="s">
        <v>1326</v>
      </c>
      <c r="E340" s="1437"/>
    </row>
    <row r="341" spans="1:7" x14ac:dyDescent="0.2">
      <c r="A341" s="1435"/>
      <c r="B341" s="1438" t="s">
        <v>1322</v>
      </c>
      <c r="C341" s="1451"/>
      <c r="D341" s="418"/>
      <c r="E341" s="1437"/>
    </row>
    <row r="342" spans="1:7" x14ac:dyDescent="0.2">
      <c r="A342" s="1435"/>
      <c r="B342" s="1437"/>
      <c r="C342" s="1451" t="s">
        <v>1323</v>
      </c>
      <c r="D342" s="1451" t="s">
        <v>1324</v>
      </c>
      <c r="E342" s="1437"/>
    </row>
    <row r="343" spans="1:7" x14ac:dyDescent="0.2">
      <c r="A343" s="1435"/>
      <c r="B343" s="1438" t="s">
        <v>619</v>
      </c>
      <c r="C343" s="1451" t="s">
        <v>620</v>
      </c>
      <c r="D343" s="1451" t="s">
        <v>1268</v>
      </c>
      <c r="E343" s="1437"/>
    </row>
    <row r="344" spans="1:7" x14ac:dyDescent="0.2">
      <c r="A344" s="1435"/>
      <c r="B344" s="1437"/>
      <c r="C344" s="1451" t="s">
        <v>1302</v>
      </c>
      <c r="D344" s="1451" t="s">
        <v>1304</v>
      </c>
      <c r="E344" s="1437"/>
    </row>
    <row r="345" spans="1:7" x14ac:dyDescent="0.2">
      <c r="A345" s="1435"/>
      <c r="B345" s="1437"/>
      <c r="C345" s="1451" t="s">
        <v>1303</v>
      </c>
      <c r="D345" s="1451" t="s">
        <v>1311</v>
      </c>
      <c r="E345" s="1437"/>
    </row>
    <row r="346" spans="1:7" x14ac:dyDescent="0.2">
      <c r="A346" s="1435"/>
      <c r="B346" s="1437"/>
      <c r="C346" s="1451" t="s">
        <v>1312</v>
      </c>
      <c r="D346" s="1451" t="s">
        <v>1313</v>
      </c>
      <c r="E346" s="1437"/>
    </row>
    <row r="347" spans="1:7" x14ac:dyDescent="0.2">
      <c r="A347" s="1435"/>
      <c r="B347" s="1437"/>
      <c r="C347" s="1451" t="s">
        <v>1314</v>
      </c>
      <c r="D347" s="1451" t="s">
        <v>1315</v>
      </c>
      <c r="E347" s="1437"/>
    </row>
    <row r="348" spans="1:7" x14ac:dyDescent="0.2">
      <c r="A348" s="1435"/>
      <c r="B348" s="1437"/>
      <c r="C348" s="1451" t="s">
        <v>1305</v>
      </c>
      <c r="D348" s="1451" t="s">
        <v>1306</v>
      </c>
      <c r="E348" s="1437"/>
    </row>
    <row r="349" spans="1:7" x14ac:dyDescent="0.2">
      <c r="A349" s="1435"/>
      <c r="B349" s="1437"/>
      <c r="C349" s="1451" t="s">
        <v>1307</v>
      </c>
      <c r="D349" s="1451" t="s">
        <v>1308</v>
      </c>
      <c r="E349" s="1437"/>
    </row>
    <row r="350" spans="1:7" x14ac:dyDescent="0.2">
      <c r="A350" s="1435"/>
      <c r="B350" s="1437"/>
      <c r="C350" s="1451" t="s">
        <v>1309</v>
      </c>
      <c r="D350" s="1451" t="s">
        <v>1310</v>
      </c>
      <c r="E350" s="1437"/>
    </row>
    <row r="351" spans="1:7" x14ac:dyDescent="0.2">
      <c r="A351" s="1435"/>
      <c r="B351" s="1438" t="s">
        <v>622</v>
      </c>
      <c r="C351" s="1451" t="s">
        <v>1177</v>
      </c>
      <c r="D351" s="1451" t="s">
        <v>1329</v>
      </c>
      <c r="E351" s="1437"/>
    </row>
    <row r="352" spans="1:7" x14ac:dyDescent="0.2">
      <c r="A352" s="1435"/>
      <c r="B352" s="1437"/>
      <c r="C352" s="1451" t="s">
        <v>1331</v>
      </c>
      <c r="D352" s="1451" t="s">
        <v>1332</v>
      </c>
      <c r="E352" s="1437"/>
    </row>
    <row r="353" spans="1:5" x14ac:dyDescent="0.2">
      <c r="A353" s="1435"/>
      <c r="B353" s="1437"/>
      <c r="C353" s="1451" t="s">
        <v>1333</v>
      </c>
      <c r="D353" s="1451" t="s">
        <v>1334</v>
      </c>
      <c r="E353" s="1437"/>
    </row>
    <row r="354" spans="1:5" x14ac:dyDescent="0.2">
      <c r="A354" s="1494">
        <v>45608</v>
      </c>
      <c r="B354" s="1497" t="s">
        <v>679</v>
      </c>
      <c r="C354" s="1498" t="s">
        <v>1210</v>
      </c>
      <c r="D354" s="1498" t="s">
        <v>1335</v>
      </c>
      <c r="E354" s="1493"/>
    </row>
    <row r="355" spans="1:5" x14ac:dyDescent="0.2">
      <c r="A355" s="1436"/>
      <c r="B355" s="1439"/>
      <c r="C355" s="1454" t="s">
        <v>1336</v>
      </c>
      <c r="D355" s="1454" t="s">
        <v>1337</v>
      </c>
      <c r="E355" s="1437"/>
    </row>
    <row r="356" spans="1:5" x14ac:dyDescent="0.2">
      <c r="A356" s="1435"/>
      <c r="B356" s="1437"/>
      <c r="C356" s="1449"/>
      <c r="D356" s="1454" t="s">
        <v>1338</v>
      </c>
      <c r="E356" s="1437"/>
    </row>
    <row r="357" spans="1:5" x14ac:dyDescent="0.2">
      <c r="A357" s="1435"/>
      <c r="B357" s="1437"/>
      <c r="C357" s="1449"/>
      <c r="D357" s="1454" t="s">
        <v>1339</v>
      </c>
      <c r="E357" s="1437"/>
    </row>
    <row r="358" spans="1:5" x14ac:dyDescent="0.2">
      <c r="A358" s="1435"/>
      <c r="B358" s="1437"/>
      <c r="C358" s="1454" t="s">
        <v>1341</v>
      </c>
      <c r="D358" s="1454" t="s">
        <v>1342</v>
      </c>
      <c r="E358" s="1437"/>
    </row>
    <row r="359" spans="1:5" x14ac:dyDescent="0.2">
      <c r="A359" s="1435"/>
      <c r="B359" s="1437"/>
      <c r="C359" s="1449"/>
      <c r="D359" s="1454" t="s">
        <v>1340</v>
      </c>
      <c r="E359" s="1437"/>
    </row>
    <row r="360" spans="1:5" x14ac:dyDescent="0.2">
      <c r="A360" s="1435"/>
      <c r="B360" s="1437"/>
      <c r="C360" s="1449"/>
      <c r="D360" s="1454" t="s">
        <v>1343</v>
      </c>
      <c r="E360" s="1437"/>
    </row>
    <row r="361" spans="1:5" x14ac:dyDescent="0.2">
      <c r="A361" s="1436"/>
      <c r="B361" s="1440" t="s">
        <v>619</v>
      </c>
      <c r="C361" s="1454" t="s">
        <v>1344</v>
      </c>
      <c r="D361" s="1454" t="s">
        <v>1345</v>
      </c>
      <c r="E361" s="1437"/>
    </row>
    <row r="362" spans="1:5" x14ac:dyDescent="0.2">
      <c r="A362" s="1494">
        <v>45609</v>
      </c>
      <c r="B362" s="1499" t="s">
        <v>1347</v>
      </c>
      <c r="C362" s="1500" t="s">
        <v>1348</v>
      </c>
      <c r="D362" s="1500" t="s">
        <v>1349</v>
      </c>
      <c r="E362" s="1493"/>
    </row>
    <row r="363" spans="1:5" x14ac:dyDescent="0.2">
      <c r="A363" s="1435"/>
      <c r="B363" s="1437"/>
      <c r="C363" s="1455" t="s">
        <v>1350</v>
      </c>
      <c r="D363" s="1455" t="s">
        <v>1351</v>
      </c>
      <c r="E363" s="1437"/>
    </row>
    <row r="364" spans="1:5" x14ac:dyDescent="0.2">
      <c r="A364" s="1435"/>
      <c r="B364" s="1441" t="s">
        <v>622</v>
      </c>
      <c r="C364" s="1455" t="s">
        <v>1352</v>
      </c>
      <c r="D364" s="1455" t="s">
        <v>1353</v>
      </c>
      <c r="E364" s="1437"/>
    </row>
    <row r="365" spans="1:5" x14ac:dyDescent="0.2">
      <c r="A365" s="1435"/>
      <c r="B365" s="1442" t="s">
        <v>626</v>
      </c>
      <c r="C365" s="1456" t="s">
        <v>1362</v>
      </c>
      <c r="D365" s="1449"/>
      <c r="E365" s="1437"/>
    </row>
    <row r="366" spans="1:5" x14ac:dyDescent="0.2">
      <c r="A366" s="1494">
        <v>45610</v>
      </c>
      <c r="B366" s="1501" t="s">
        <v>619</v>
      </c>
      <c r="C366" s="1502" t="s">
        <v>1363</v>
      </c>
      <c r="D366" s="1502" t="s">
        <v>1364</v>
      </c>
      <c r="E366" s="1493"/>
    </row>
    <row r="367" spans="1:5" x14ac:dyDescent="0.2">
      <c r="A367" s="1435"/>
      <c r="B367" s="1443" t="s">
        <v>679</v>
      </c>
      <c r="C367" s="1457" t="s">
        <v>1299</v>
      </c>
      <c r="D367" s="1457" t="s">
        <v>1365</v>
      </c>
      <c r="E367" s="1437"/>
    </row>
    <row r="368" spans="1:5" x14ac:dyDescent="0.2">
      <c r="A368" s="1494">
        <v>45611</v>
      </c>
      <c r="B368" s="1503" t="s">
        <v>1371</v>
      </c>
      <c r="C368" s="1504" t="s">
        <v>1369</v>
      </c>
      <c r="D368" s="1489" t="s">
        <v>1370</v>
      </c>
      <c r="E368" s="1493"/>
    </row>
    <row r="369" spans="1:5" x14ac:dyDescent="0.2">
      <c r="A369" s="1435"/>
      <c r="B369" s="1437"/>
      <c r="C369" s="1458" t="s">
        <v>1372</v>
      </c>
      <c r="D369" s="1458" t="s">
        <v>1373</v>
      </c>
      <c r="E369" s="1437"/>
    </row>
    <row r="370" spans="1:5" x14ac:dyDescent="0.2">
      <c r="A370" s="1435"/>
      <c r="B370" s="1437"/>
      <c r="C370" s="1458" t="s">
        <v>1374</v>
      </c>
      <c r="D370" s="1458" t="s">
        <v>1377</v>
      </c>
      <c r="E370" s="1437"/>
    </row>
    <row r="371" spans="1:5" x14ac:dyDescent="0.2">
      <c r="A371" s="1435"/>
      <c r="B371" s="1437"/>
      <c r="C371" s="1458" t="s">
        <v>1375</v>
      </c>
      <c r="D371" s="1458" t="s">
        <v>1376</v>
      </c>
      <c r="E371" s="1437"/>
    </row>
    <row r="372" spans="1:5" x14ac:dyDescent="0.2">
      <c r="A372" s="1435"/>
      <c r="B372" s="1444" t="s">
        <v>1378</v>
      </c>
      <c r="C372" s="1449"/>
      <c r="D372" s="1449"/>
      <c r="E372" s="1437"/>
    </row>
    <row r="373" spans="1:5" x14ac:dyDescent="0.2">
      <c r="A373" s="1494">
        <v>45617</v>
      </c>
      <c r="B373" s="1505" t="s">
        <v>600</v>
      </c>
      <c r="C373" s="1506" t="s">
        <v>1382</v>
      </c>
      <c r="D373" s="1506" t="s">
        <v>1383</v>
      </c>
      <c r="E373" s="1493"/>
    </row>
    <row r="374" spans="1:5" x14ac:dyDescent="0.2">
      <c r="A374" s="1435"/>
      <c r="B374" s="1437"/>
      <c r="C374" s="1459" t="s">
        <v>1384</v>
      </c>
      <c r="D374" s="1459" t="s">
        <v>1385</v>
      </c>
      <c r="E374" s="1437"/>
    </row>
    <row r="375" spans="1:5" x14ac:dyDescent="0.2">
      <c r="A375" s="1435"/>
      <c r="B375" s="1445" t="s">
        <v>1371</v>
      </c>
      <c r="C375" s="1460" t="s">
        <v>1251</v>
      </c>
      <c r="D375" s="1460" t="s">
        <v>1387</v>
      </c>
      <c r="E375" s="1437"/>
    </row>
    <row r="376" spans="1:5" x14ac:dyDescent="0.2">
      <c r="A376" s="1435"/>
      <c r="B376" s="1445" t="s">
        <v>630</v>
      </c>
      <c r="C376" s="1460" t="s">
        <v>1251</v>
      </c>
      <c r="D376" s="1460" t="s">
        <v>105</v>
      </c>
      <c r="E376" s="1437"/>
    </row>
    <row r="377" spans="1:5" x14ac:dyDescent="0.2">
      <c r="A377" s="1435"/>
      <c r="B377" s="1446" t="s">
        <v>1388</v>
      </c>
      <c r="C377" s="1461" t="s">
        <v>1389</v>
      </c>
      <c r="D377" s="1449"/>
      <c r="E377" s="1437"/>
    </row>
    <row r="378" spans="1:5" x14ac:dyDescent="0.2">
      <c r="A378" s="1435"/>
      <c r="B378" s="1447" t="s">
        <v>685</v>
      </c>
      <c r="C378" s="1462" t="s">
        <v>811</v>
      </c>
      <c r="D378" s="1449"/>
      <c r="E378" s="1437"/>
    </row>
    <row r="379" spans="1:5" x14ac:dyDescent="0.2">
      <c r="A379" s="1507"/>
      <c r="B379" s="1508" t="s">
        <v>679</v>
      </c>
      <c r="C379" s="1509" t="s">
        <v>1390</v>
      </c>
      <c r="D379" s="1509" t="s">
        <v>1391</v>
      </c>
      <c r="E379" s="1510"/>
    </row>
    <row r="380" spans="1:5" x14ac:dyDescent="0.2">
      <c r="A380" s="1901">
        <v>45621</v>
      </c>
      <c r="B380" s="1902" t="s">
        <v>679</v>
      </c>
      <c r="C380" s="1902" t="s">
        <v>1210</v>
      </c>
      <c r="D380" s="1902" t="s">
        <v>1392</v>
      </c>
      <c r="E380" s="864"/>
    </row>
    <row r="381" spans="1:5" x14ac:dyDescent="0.2">
      <c r="A381" s="1901">
        <v>45622</v>
      </c>
      <c r="B381" s="1903" t="s">
        <v>685</v>
      </c>
      <c r="C381" s="1904" t="s">
        <v>1393</v>
      </c>
      <c r="D381" s="864"/>
      <c r="E381" s="864"/>
    </row>
    <row r="382" spans="1:5" x14ac:dyDescent="0.2">
      <c r="A382" s="1435"/>
      <c r="B382" s="1437"/>
      <c r="C382" s="1449"/>
      <c r="D382" s="1449"/>
      <c r="E382" s="1437"/>
    </row>
    <row r="383" spans="1:5" x14ac:dyDescent="0.2">
      <c r="A383" s="1435"/>
      <c r="B383" s="1437"/>
      <c r="C383" s="1449"/>
      <c r="D383" s="1449"/>
      <c r="E383" s="1437"/>
    </row>
    <row r="384" spans="1:5" x14ac:dyDescent="0.2">
      <c r="A384" s="1435"/>
      <c r="B384" s="1437"/>
      <c r="C384" s="1449"/>
      <c r="D384" s="1449"/>
      <c r="E384" s="1437"/>
    </row>
    <row r="385" spans="1:5" x14ac:dyDescent="0.2">
      <c r="A385" s="1435"/>
      <c r="B385" s="1437"/>
      <c r="C385" s="1449"/>
      <c r="D385" s="1449"/>
      <c r="E385" s="1437"/>
    </row>
    <row r="386" spans="1:5" x14ac:dyDescent="0.2">
      <c r="A386" s="1435"/>
      <c r="B386" s="1437"/>
      <c r="C386" s="1449"/>
      <c r="D386" s="1449"/>
      <c r="E386" s="1437"/>
    </row>
    <row r="387" spans="1:5" x14ac:dyDescent="0.2">
      <c r="A387" s="1435"/>
      <c r="B387" s="1437"/>
      <c r="C387" s="1449"/>
      <c r="D387" s="1449"/>
      <c r="E387" s="1437"/>
    </row>
    <row r="388" spans="1:5" x14ac:dyDescent="0.2">
      <c r="A388" s="1435"/>
      <c r="B388" s="1437"/>
      <c r="C388" s="1449"/>
      <c r="D388" s="1449"/>
      <c r="E388" s="1437"/>
    </row>
    <row r="389" spans="1:5" x14ac:dyDescent="0.2">
      <c r="A389" s="1435"/>
      <c r="B389" s="1437"/>
      <c r="C389" s="1449"/>
      <c r="D389" s="1449"/>
      <c r="E389" s="1437"/>
    </row>
    <row r="390" spans="1:5" x14ac:dyDescent="0.2">
      <c r="A390" s="1435"/>
      <c r="B390" s="1437"/>
      <c r="C390" s="1449"/>
      <c r="D390" s="1449"/>
      <c r="E390" s="1437"/>
    </row>
    <row r="391" spans="1:5" x14ac:dyDescent="0.2">
      <c r="A391" s="1435"/>
      <c r="B391" s="1437"/>
      <c r="C391" s="1449"/>
      <c r="D391" s="1449"/>
      <c r="E391" s="1437"/>
    </row>
    <row r="392" spans="1:5" x14ac:dyDescent="0.2">
      <c r="A392" s="1435"/>
      <c r="B392" s="1437"/>
      <c r="C392" s="1449"/>
      <c r="D392" s="1449"/>
      <c r="E392" s="1437"/>
    </row>
    <row r="393" spans="1:5" x14ac:dyDescent="0.2">
      <c r="A393" s="1435"/>
      <c r="B393" s="1437"/>
      <c r="C393" s="1449"/>
      <c r="D393" s="1449"/>
      <c r="E393" s="1437"/>
    </row>
    <row r="394" spans="1:5" x14ac:dyDescent="0.2">
      <c r="A394" s="1435"/>
      <c r="B394" s="1437"/>
      <c r="C394" s="1449"/>
      <c r="D394" s="1449"/>
      <c r="E394" s="1437"/>
    </row>
    <row r="395" spans="1:5" x14ac:dyDescent="0.2">
      <c r="A395" s="1435"/>
      <c r="B395" s="1437"/>
      <c r="C395" s="1449"/>
      <c r="D395" s="1449"/>
      <c r="E395" s="1437"/>
    </row>
    <row r="396" spans="1:5" x14ac:dyDescent="0.2">
      <c r="A396" s="1435"/>
      <c r="B396" s="1437"/>
      <c r="C396" s="1449"/>
      <c r="D396" s="1449"/>
      <c r="E396" s="1437"/>
    </row>
    <row r="397" spans="1:5" x14ac:dyDescent="0.2">
      <c r="A397" s="1435"/>
      <c r="B397" s="1437"/>
      <c r="C397" s="1449"/>
      <c r="D397" s="1449"/>
      <c r="E397" s="1437"/>
    </row>
    <row r="398" spans="1:5" x14ac:dyDescent="0.2">
      <c r="A398" s="1435"/>
      <c r="B398" s="1437"/>
      <c r="C398" s="1449"/>
      <c r="D398" s="1449"/>
      <c r="E398" s="1437"/>
    </row>
    <row r="399" spans="1:5" x14ac:dyDescent="0.2">
      <c r="A399" s="1435"/>
      <c r="B399" s="1437"/>
      <c r="C399" s="1449"/>
      <c r="D399" s="1449"/>
      <c r="E399" s="1437"/>
    </row>
    <row r="400" spans="1:5" x14ac:dyDescent="0.2">
      <c r="A400" s="1435"/>
      <c r="B400" s="1437"/>
      <c r="C400" s="1449"/>
      <c r="D400" s="1449"/>
      <c r="E400" s="1437"/>
    </row>
    <row r="401" spans="1:5" x14ac:dyDescent="0.2">
      <c r="A401" s="1435"/>
      <c r="B401" s="1437"/>
      <c r="C401" s="1449"/>
      <c r="D401" s="1449"/>
      <c r="E401" s="1437"/>
    </row>
    <row r="402" spans="1:5" x14ac:dyDescent="0.2">
      <c r="A402" s="1435"/>
      <c r="B402" s="1437"/>
      <c r="C402" s="1449"/>
      <c r="D402" s="1449"/>
      <c r="E402" s="1437"/>
    </row>
    <row r="403" spans="1:5" x14ac:dyDescent="0.2">
      <c r="A403" s="1435"/>
      <c r="B403" s="1437"/>
      <c r="C403" s="1449"/>
      <c r="D403" s="1449"/>
      <c r="E403" s="1437"/>
    </row>
    <row r="404" spans="1:5" x14ac:dyDescent="0.2">
      <c r="A404" s="1435"/>
      <c r="B404" s="1437"/>
      <c r="C404" s="1449"/>
      <c r="D404" s="1449"/>
      <c r="E404" s="1437"/>
    </row>
    <row r="405" spans="1:5" x14ac:dyDescent="0.2">
      <c r="A405" s="1435"/>
      <c r="B405" s="1437"/>
      <c r="C405" s="1449"/>
      <c r="D405" s="1449"/>
      <c r="E405" s="1437"/>
    </row>
    <row r="406" spans="1:5" x14ac:dyDescent="0.2">
      <c r="A406" s="1435"/>
      <c r="B406" s="1437"/>
      <c r="C406" s="1449"/>
      <c r="D406" s="1449"/>
      <c r="E406" s="1437"/>
    </row>
    <row r="407" spans="1:5" x14ac:dyDescent="0.2">
      <c r="A407" s="1435"/>
      <c r="B407" s="1437"/>
      <c r="C407" s="1449"/>
      <c r="D407" s="1449"/>
      <c r="E407" s="1437"/>
    </row>
    <row r="408" spans="1:5" x14ac:dyDescent="0.2">
      <c r="A408" s="1435"/>
      <c r="B408" s="1437"/>
      <c r="C408" s="1449"/>
      <c r="D408" s="1449"/>
      <c r="E408" s="1437"/>
    </row>
    <row r="409" spans="1:5" x14ac:dyDescent="0.2">
      <c r="A409" s="1435"/>
      <c r="B409" s="1437"/>
      <c r="C409" s="1449"/>
      <c r="D409" s="1449"/>
      <c r="E409" s="1437"/>
    </row>
    <row r="410" spans="1:5" x14ac:dyDescent="0.2">
      <c r="A410" s="1435"/>
      <c r="B410" s="1437"/>
      <c r="C410" s="1449"/>
      <c r="D410" s="1449"/>
      <c r="E410" s="1437"/>
    </row>
    <row r="411" spans="1:5" x14ac:dyDescent="0.2">
      <c r="A411" s="1435"/>
      <c r="B411" s="1437"/>
      <c r="C411" s="1449"/>
      <c r="D411" s="1449"/>
      <c r="E411" s="1437"/>
    </row>
    <row r="412" spans="1:5" x14ac:dyDescent="0.2">
      <c r="A412" s="1435"/>
      <c r="B412" s="1437"/>
      <c r="C412" s="1449"/>
      <c r="D412" s="1449"/>
      <c r="E412" s="1437"/>
    </row>
    <row r="413" spans="1:5" x14ac:dyDescent="0.2">
      <c r="A413" s="1435"/>
      <c r="B413" s="1437"/>
      <c r="C413" s="1449"/>
      <c r="D413" s="1449"/>
      <c r="E413" s="1437"/>
    </row>
    <row r="414" spans="1:5" x14ac:dyDescent="0.2">
      <c r="A414" s="1435"/>
      <c r="B414" s="1437"/>
      <c r="C414" s="1449"/>
      <c r="D414" s="1449"/>
      <c r="E414" s="1437"/>
    </row>
    <row r="415" spans="1:5" x14ac:dyDescent="0.2">
      <c r="A415" s="1435"/>
      <c r="B415" s="1437"/>
      <c r="C415" s="1449"/>
      <c r="D415" s="1449"/>
      <c r="E415" s="1437"/>
    </row>
    <row r="416" spans="1:5" x14ac:dyDescent="0.2">
      <c r="A416" s="1435"/>
      <c r="B416" s="1437"/>
      <c r="C416" s="1449"/>
      <c r="D416" s="1449"/>
      <c r="E416" s="1437"/>
    </row>
    <row r="417" spans="1:5" x14ac:dyDescent="0.2">
      <c r="A417" s="1435"/>
      <c r="B417" s="1437"/>
      <c r="C417" s="1449"/>
      <c r="D417" s="1449"/>
      <c r="E417" s="1437"/>
    </row>
    <row r="418" spans="1:5" x14ac:dyDescent="0.2">
      <c r="A418" s="1435"/>
      <c r="B418" s="1437"/>
      <c r="C418" s="1449"/>
      <c r="D418" s="1449"/>
      <c r="E418" s="1437"/>
    </row>
    <row r="419" spans="1:5" x14ac:dyDescent="0.2">
      <c r="A419" s="1435"/>
      <c r="B419" s="1437"/>
      <c r="C419" s="1449"/>
      <c r="D419" s="1449"/>
      <c r="E419" s="1437"/>
    </row>
    <row r="420" spans="1:5" x14ac:dyDescent="0.2">
      <c r="A420" s="1435"/>
      <c r="B420" s="1437"/>
      <c r="C420" s="1449"/>
      <c r="D420" s="1449"/>
      <c r="E420" s="1437"/>
    </row>
    <row r="421" spans="1:5" x14ac:dyDescent="0.2">
      <c r="A421" s="1435"/>
      <c r="B421" s="1437"/>
      <c r="C421" s="1449"/>
      <c r="D421" s="1449"/>
      <c r="E421" s="1437"/>
    </row>
    <row r="422" spans="1:5" x14ac:dyDescent="0.2">
      <c r="A422" s="1435"/>
      <c r="B422" s="1437"/>
      <c r="C422" s="1449"/>
      <c r="D422" s="1449"/>
      <c r="E422" s="1437"/>
    </row>
    <row r="423" spans="1:5" x14ac:dyDescent="0.2">
      <c r="A423" s="1435"/>
      <c r="B423" s="1437"/>
      <c r="C423" s="1449"/>
      <c r="D423" s="1449"/>
      <c r="E423" s="1437"/>
    </row>
    <row r="424" spans="1:5" x14ac:dyDescent="0.2">
      <c r="A424" s="1435"/>
      <c r="B424" s="1437"/>
      <c r="C424" s="1449"/>
      <c r="D424" s="1449"/>
      <c r="E424" s="1437"/>
    </row>
    <row r="425" spans="1:5" x14ac:dyDescent="0.2">
      <c r="A425" s="1435"/>
      <c r="B425" s="1437"/>
      <c r="C425" s="1449"/>
      <c r="D425" s="1449"/>
      <c r="E425" s="1437"/>
    </row>
    <row r="426" spans="1:5" x14ac:dyDescent="0.2">
      <c r="A426" s="1435"/>
      <c r="B426" s="1437"/>
      <c r="C426" s="1449"/>
      <c r="D426" s="1449"/>
      <c r="E426" s="1437"/>
    </row>
    <row r="427" spans="1:5" x14ac:dyDescent="0.2">
      <c r="A427" s="1435"/>
      <c r="B427" s="1437"/>
      <c r="C427" s="1449"/>
      <c r="D427" s="1449"/>
      <c r="E427" s="1437"/>
    </row>
    <row r="428" spans="1:5" x14ac:dyDescent="0.2">
      <c r="A428" s="1435"/>
      <c r="B428" s="1437"/>
      <c r="C428" s="1449"/>
      <c r="D428" s="1449"/>
      <c r="E428" s="1437"/>
    </row>
    <row r="429" spans="1:5" x14ac:dyDescent="0.2">
      <c r="A429" s="1435"/>
      <c r="B429" s="1437"/>
      <c r="C429" s="1449"/>
      <c r="D429" s="1449"/>
      <c r="E429" s="1437"/>
    </row>
    <row r="430" spans="1:5" x14ac:dyDescent="0.2">
      <c r="A430" s="1435"/>
      <c r="B430" s="1437"/>
      <c r="C430" s="1449"/>
      <c r="D430" s="1449"/>
      <c r="E430" s="1437"/>
    </row>
    <row r="431" spans="1:5" x14ac:dyDescent="0.2">
      <c r="A431" s="1435"/>
      <c r="B431" s="1437"/>
      <c r="C431" s="1449"/>
      <c r="D431" s="1449"/>
      <c r="E431" s="1437"/>
    </row>
    <row r="432" spans="1:5" x14ac:dyDescent="0.2">
      <c r="A432" s="1435"/>
      <c r="B432" s="1437"/>
      <c r="C432" s="1449"/>
      <c r="D432" s="1449"/>
      <c r="E432" s="1437"/>
    </row>
    <row r="433" spans="1:5" x14ac:dyDescent="0.2">
      <c r="A433" s="1435"/>
      <c r="B433" s="1437"/>
      <c r="C433" s="1449"/>
      <c r="D433" s="1449"/>
      <c r="E433" s="1437"/>
    </row>
    <row r="434" spans="1:5" x14ac:dyDescent="0.2">
      <c r="A434" s="1435"/>
      <c r="B434" s="1437"/>
      <c r="C434" s="1449"/>
      <c r="D434" s="1449"/>
      <c r="E434" s="1437"/>
    </row>
    <row r="435" spans="1:5" x14ac:dyDescent="0.2">
      <c r="A435" s="1435"/>
      <c r="B435" s="1437"/>
      <c r="C435" s="1449"/>
      <c r="D435" s="1449"/>
      <c r="E435" s="1437"/>
    </row>
    <row r="436" spans="1:5" x14ac:dyDescent="0.2">
      <c r="A436" s="1435"/>
      <c r="B436" s="1437"/>
      <c r="C436" s="1449"/>
      <c r="D436" s="1449"/>
      <c r="E436" s="1437"/>
    </row>
    <row r="437" spans="1:5" x14ac:dyDescent="0.2">
      <c r="A437" s="1435"/>
      <c r="B437" s="1437"/>
      <c r="C437" s="1449"/>
      <c r="D437" s="1449"/>
      <c r="E437" s="1437"/>
    </row>
    <row r="438" spans="1:5" x14ac:dyDescent="0.2">
      <c r="A438" s="1435"/>
      <c r="B438" s="1437"/>
      <c r="C438" s="1449"/>
      <c r="D438" s="1449"/>
      <c r="E438" s="1437"/>
    </row>
    <row r="439" spans="1:5" x14ac:dyDescent="0.2">
      <c r="A439" s="1435"/>
      <c r="B439" s="1437"/>
      <c r="C439" s="1449"/>
      <c r="D439" s="1449"/>
      <c r="E439" s="1437"/>
    </row>
    <row r="440" spans="1:5" x14ac:dyDescent="0.2">
      <c r="A440" s="1435"/>
      <c r="B440" s="1437"/>
      <c r="C440" s="1449"/>
      <c r="D440" s="1449"/>
      <c r="E440" s="1437"/>
    </row>
    <row r="441" spans="1:5" x14ac:dyDescent="0.2">
      <c r="A441" s="1435"/>
      <c r="B441" s="1437"/>
      <c r="C441" s="1449"/>
      <c r="D441" s="1449"/>
      <c r="E441" s="1437"/>
    </row>
    <row r="442" spans="1:5" x14ac:dyDescent="0.2">
      <c r="A442" s="1435"/>
      <c r="B442" s="1437"/>
      <c r="C442" s="1449"/>
      <c r="D442" s="1449"/>
      <c r="E442" s="1437"/>
    </row>
    <row r="443" spans="1:5" x14ac:dyDescent="0.2">
      <c r="A443" s="1435"/>
      <c r="B443" s="1437"/>
      <c r="C443" s="1449"/>
      <c r="D443" s="1449"/>
      <c r="E443" s="1437"/>
    </row>
    <row r="444" spans="1:5" x14ac:dyDescent="0.2">
      <c r="A444" s="1435"/>
      <c r="B444" s="1437"/>
      <c r="C444" s="1449"/>
      <c r="D444" s="1449"/>
      <c r="E444" s="1437"/>
    </row>
    <row r="445" spans="1:5" x14ac:dyDescent="0.2">
      <c r="A445" s="1435"/>
      <c r="B445" s="1437"/>
      <c r="C445" s="1449"/>
      <c r="D445" s="1449"/>
      <c r="E445" s="1437"/>
    </row>
    <row r="446" spans="1:5" x14ac:dyDescent="0.2">
      <c r="A446" s="1435"/>
      <c r="B446" s="1437"/>
      <c r="C446" s="1449"/>
      <c r="D446" s="1449"/>
      <c r="E446" s="1437"/>
    </row>
    <row r="447" spans="1:5" x14ac:dyDescent="0.2">
      <c r="A447" s="1435"/>
      <c r="B447" s="1437"/>
      <c r="C447" s="1449"/>
      <c r="D447" s="1449"/>
      <c r="E447" s="1437"/>
    </row>
    <row r="448" spans="1:5" x14ac:dyDescent="0.2">
      <c r="A448" s="1435"/>
      <c r="B448" s="1437"/>
      <c r="C448" s="1449"/>
      <c r="D448" s="1449"/>
      <c r="E448" s="1437"/>
    </row>
    <row r="449" spans="1:5" x14ac:dyDescent="0.2">
      <c r="A449" s="1435"/>
      <c r="B449" s="1437"/>
      <c r="C449" s="1449"/>
      <c r="D449" s="1449"/>
      <c r="E449" s="1437"/>
    </row>
    <row r="450" spans="1:5" x14ac:dyDescent="0.2">
      <c r="A450" s="1435"/>
      <c r="B450" s="1437"/>
      <c r="C450" s="1449"/>
      <c r="D450" s="1449"/>
      <c r="E450" s="1437"/>
    </row>
    <row r="451" spans="1:5" x14ac:dyDescent="0.2">
      <c r="A451" s="1435"/>
      <c r="B451" s="1437"/>
      <c r="C451" s="1449"/>
      <c r="D451" s="1449"/>
      <c r="E451" s="1437"/>
    </row>
    <row r="452" spans="1:5" x14ac:dyDescent="0.2">
      <c r="A452" s="1435"/>
      <c r="B452" s="1437"/>
      <c r="C452" s="1449"/>
      <c r="D452" s="1449"/>
      <c r="E452" s="1437"/>
    </row>
    <row r="453" spans="1:5" x14ac:dyDescent="0.2">
      <c r="A453" s="1435"/>
      <c r="B453" s="1437"/>
      <c r="C453" s="1449"/>
      <c r="D453" s="1449"/>
      <c r="E453" s="1437"/>
    </row>
    <row r="454" spans="1:5" x14ac:dyDescent="0.2">
      <c r="A454" s="1435"/>
      <c r="B454" s="1437"/>
      <c r="C454" s="1449"/>
      <c r="D454" s="1449"/>
      <c r="E454" s="1437"/>
    </row>
    <row r="455" spans="1:5" x14ac:dyDescent="0.2">
      <c r="A455" s="1435"/>
      <c r="B455" s="1437"/>
      <c r="C455" s="1449"/>
      <c r="D455" s="1449"/>
      <c r="E455" s="1437"/>
    </row>
    <row r="456" spans="1:5" x14ac:dyDescent="0.2">
      <c r="A456" s="1435"/>
      <c r="B456" s="1437"/>
      <c r="C456" s="1449"/>
      <c r="D456" s="1449"/>
      <c r="E456" s="1437"/>
    </row>
    <row r="457" spans="1:5" x14ac:dyDescent="0.2">
      <c r="A457" s="1435"/>
      <c r="B457" s="1437"/>
      <c r="C457" s="1449"/>
      <c r="D457" s="1449"/>
      <c r="E457" s="1437"/>
    </row>
    <row r="458" spans="1:5" x14ac:dyDescent="0.2">
      <c r="A458" s="1435"/>
      <c r="B458" s="1437"/>
      <c r="C458" s="1449"/>
      <c r="D458" s="1449"/>
      <c r="E458" s="1437"/>
    </row>
    <row r="459" spans="1:5" x14ac:dyDescent="0.2">
      <c r="A459" s="923"/>
      <c r="B459" s="1437"/>
      <c r="C459" s="924"/>
      <c r="D459" s="924"/>
      <c r="E459" s="1437"/>
    </row>
    <row r="460" spans="1:5" x14ac:dyDescent="0.2">
      <c r="A460" s="923"/>
      <c r="B460" s="924"/>
      <c r="C460" s="924"/>
      <c r="D460" s="924"/>
      <c r="E460" s="924"/>
    </row>
    <row r="461" spans="1:5" x14ac:dyDescent="0.2">
      <c r="A461" s="923"/>
      <c r="B461" s="924"/>
      <c r="C461" s="924"/>
      <c r="D461" s="924"/>
      <c r="E461" s="924"/>
    </row>
    <row r="462" spans="1:5" x14ac:dyDescent="0.2">
      <c r="A462" s="923"/>
      <c r="B462" s="924"/>
      <c r="C462" s="924"/>
      <c r="D462" s="924"/>
      <c r="E462" s="924"/>
    </row>
    <row r="463" spans="1:5" x14ac:dyDescent="0.2">
      <c r="A463" s="923"/>
      <c r="B463" s="924"/>
      <c r="C463" s="924"/>
      <c r="D463" s="924"/>
      <c r="E463" s="924"/>
    </row>
    <row r="464" spans="1:5" x14ac:dyDescent="0.2">
      <c r="A464" s="923"/>
      <c r="B464" s="924"/>
      <c r="C464" s="924"/>
      <c r="D464" s="924"/>
      <c r="E464" s="924"/>
    </row>
    <row r="465" spans="1:5" x14ac:dyDescent="0.2">
      <c r="A465" s="923"/>
      <c r="B465" s="924"/>
      <c r="C465" s="924"/>
      <c r="D465" s="924"/>
      <c r="E465" s="924"/>
    </row>
    <row r="466" spans="1:5" x14ac:dyDescent="0.2">
      <c r="A466" s="923"/>
      <c r="B466" s="924"/>
      <c r="C466" s="924"/>
      <c r="D466" s="924"/>
      <c r="E466" s="924"/>
    </row>
    <row r="467" spans="1:5" x14ac:dyDescent="0.2">
      <c r="A467" s="923"/>
      <c r="B467" s="924"/>
      <c r="C467" s="924"/>
      <c r="D467" s="924"/>
      <c r="E467" s="924"/>
    </row>
    <row r="468" spans="1:5" x14ac:dyDescent="0.2">
      <c r="A468" s="923"/>
      <c r="B468" s="924"/>
      <c r="C468" s="924"/>
      <c r="D468" s="924"/>
      <c r="E468" s="924"/>
    </row>
    <row r="469" spans="1:5" x14ac:dyDescent="0.2">
      <c r="A469" s="923"/>
      <c r="B469" s="924"/>
      <c r="C469" s="924"/>
      <c r="D469" s="924"/>
      <c r="E469" s="924"/>
    </row>
    <row r="470" spans="1:5" x14ac:dyDescent="0.2">
      <c r="A470" s="923"/>
      <c r="B470" s="924"/>
      <c r="C470" s="924"/>
      <c r="D470" s="924"/>
      <c r="E470" s="924"/>
    </row>
    <row r="471" spans="1:5" x14ac:dyDescent="0.2">
      <c r="A471" s="923"/>
      <c r="B471" s="924"/>
      <c r="C471" s="924"/>
      <c r="D471" s="924"/>
      <c r="E471" s="924"/>
    </row>
    <row r="472" spans="1:5" x14ac:dyDescent="0.2">
      <c r="A472" s="923"/>
      <c r="B472" s="924"/>
      <c r="C472" s="924"/>
      <c r="D472" s="924"/>
      <c r="E472" s="924"/>
    </row>
    <row r="473" spans="1:5" x14ac:dyDescent="0.2">
      <c r="A473" s="923"/>
      <c r="B473" s="924"/>
      <c r="C473" s="924"/>
      <c r="D473" s="924"/>
      <c r="E473" s="924"/>
    </row>
    <row r="474" spans="1:5" x14ac:dyDescent="0.2">
      <c r="A474" s="923"/>
      <c r="B474" s="924"/>
      <c r="C474" s="924"/>
      <c r="D474" s="924"/>
      <c r="E474" s="924"/>
    </row>
    <row r="475" spans="1:5" x14ac:dyDescent="0.2">
      <c r="A475" s="923"/>
      <c r="B475" s="924"/>
      <c r="C475" s="924"/>
      <c r="D475" s="924"/>
      <c r="E475" s="924"/>
    </row>
    <row r="476" spans="1:5" x14ac:dyDescent="0.2">
      <c r="A476" s="923"/>
      <c r="B476" s="924"/>
      <c r="C476" s="924"/>
      <c r="D476" s="924"/>
      <c r="E476" s="924"/>
    </row>
    <row r="477" spans="1:5" x14ac:dyDescent="0.2">
      <c r="A477" s="923"/>
      <c r="B477" s="924"/>
      <c r="C477" s="924"/>
      <c r="D477" s="924"/>
      <c r="E477" s="924"/>
    </row>
    <row r="478" spans="1:5" x14ac:dyDescent="0.2">
      <c r="A478" s="923"/>
      <c r="B478" s="924"/>
      <c r="C478" s="924"/>
      <c r="D478" s="924"/>
      <c r="E478" s="924"/>
    </row>
    <row r="479" spans="1:5" x14ac:dyDescent="0.2">
      <c r="A479" s="923"/>
      <c r="B479" s="924"/>
      <c r="C479" s="924"/>
      <c r="D479" s="924"/>
      <c r="E479" s="924"/>
    </row>
    <row r="480" spans="1:5" x14ac:dyDescent="0.2">
      <c r="A480" s="923"/>
      <c r="B480" s="924"/>
      <c r="C480" s="924"/>
      <c r="D480" s="924"/>
      <c r="E480" s="924"/>
    </row>
    <row r="481" spans="1:5" x14ac:dyDescent="0.2">
      <c r="A481" s="923"/>
      <c r="B481" s="924"/>
      <c r="C481" s="924"/>
      <c r="D481" s="924"/>
      <c r="E481" s="924"/>
    </row>
    <row r="482" spans="1:5" x14ac:dyDescent="0.2">
      <c r="A482" s="923"/>
      <c r="B482" s="924"/>
      <c r="C482" s="924"/>
      <c r="D482" s="924"/>
      <c r="E482" s="924"/>
    </row>
    <row r="483" spans="1:5" x14ac:dyDescent="0.2">
      <c r="A483" s="923"/>
      <c r="B483" s="924"/>
      <c r="C483" s="924"/>
      <c r="D483" s="924"/>
      <c r="E483" s="924"/>
    </row>
    <row r="484" spans="1:5" x14ac:dyDescent="0.2">
      <c r="A484" s="923"/>
      <c r="B484" s="924"/>
      <c r="C484" s="924"/>
      <c r="D484" s="924"/>
      <c r="E484" s="924"/>
    </row>
    <row r="485" spans="1:5" x14ac:dyDescent="0.2">
      <c r="A485" s="923"/>
      <c r="B485" s="924"/>
      <c r="C485" s="924"/>
      <c r="D485" s="924"/>
      <c r="E485" s="924"/>
    </row>
    <row r="486" spans="1:5" x14ac:dyDescent="0.2">
      <c r="A486" s="923"/>
      <c r="B486" s="924"/>
      <c r="C486" s="924"/>
      <c r="D486" s="924"/>
      <c r="E486" s="924"/>
    </row>
    <row r="487" spans="1:5" x14ac:dyDescent="0.2">
      <c r="A487" s="923"/>
      <c r="B487" s="924"/>
      <c r="C487" s="924"/>
      <c r="D487" s="924"/>
      <c r="E487" s="924"/>
    </row>
    <row r="488" spans="1:5" x14ac:dyDescent="0.2">
      <c r="A488" s="923"/>
      <c r="B488" s="924"/>
      <c r="C488" s="924"/>
      <c r="D488" s="924"/>
      <c r="E488" s="924"/>
    </row>
    <row r="489" spans="1:5" x14ac:dyDescent="0.2">
      <c r="A489" s="923"/>
      <c r="B489" s="924"/>
      <c r="C489" s="924"/>
      <c r="D489" s="924"/>
      <c r="E489" s="924"/>
    </row>
    <row r="490" spans="1:5" x14ac:dyDescent="0.2">
      <c r="A490" s="923"/>
      <c r="B490" s="924"/>
      <c r="C490" s="924"/>
      <c r="D490" s="924"/>
      <c r="E490" s="924"/>
    </row>
    <row r="491" spans="1:5" x14ac:dyDescent="0.2">
      <c r="A491" s="923"/>
      <c r="B491" s="924"/>
      <c r="C491" s="924"/>
      <c r="D491" s="924"/>
      <c r="E491" s="924"/>
    </row>
    <row r="492" spans="1:5" x14ac:dyDescent="0.2">
      <c r="A492" s="923"/>
      <c r="B492" s="924"/>
      <c r="C492" s="924"/>
      <c r="D492" s="924"/>
      <c r="E492" s="924"/>
    </row>
    <row r="493" spans="1:5" x14ac:dyDescent="0.2">
      <c r="A493" s="923"/>
      <c r="B493" s="924"/>
      <c r="C493" s="924"/>
      <c r="D493" s="924"/>
      <c r="E493" s="924"/>
    </row>
    <row r="494" spans="1:5" x14ac:dyDescent="0.2">
      <c r="A494" s="923"/>
      <c r="B494" s="924"/>
      <c r="C494" s="924"/>
      <c r="D494" s="924"/>
      <c r="E494" s="924"/>
    </row>
    <row r="495" spans="1:5" x14ac:dyDescent="0.2">
      <c r="A495" s="923"/>
      <c r="B495" s="924"/>
      <c r="C495" s="924"/>
      <c r="D495" s="924"/>
      <c r="E495" s="924"/>
    </row>
    <row r="496" spans="1:5" x14ac:dyDescent="0.2">
      <c r="A496" s="923"/>
      <c r="B496" s="924"/>
      <c r="C496" s="924"/>
      <c r="D496" s="924"/>
      <c r="E496" s="924"/>
    </row>
    <row r="497" spans="1:5" x14ac:dyDescent="0.2">
      <c r="A497" s="923"/>
      <c r="B497" s="924"/>
      <c r="C497" s="924"/>
      <c r="D497" s="924"/>
      <c r="E497" s="924"/>
    </row>
    <row r="498" spans="1:5" x14ac:dyDescent="0.2">
      <c r="A498" s="923"/>
      <c r="B498" s="924"/>
      <c r="C498" s="924"/>
      <c r="D498" s="924"/>
      <c r="E498" s="924"/>
    </row>
    <row r="499" spans="1:5" x14ac:dyDescent="0.2">
      <c r="A499" s="923"/>
      <c r="B499" s="924"/>
      <c r="C499" s="924"/>
      <c r="D499" s="924"/>
      <c r="E499" s="924"/>
    </row>
    <row r="500" spans="1:5" x14ac:dyDescent="0.2">
      <c r="A500" s="923"/>
      <c r="B500" s="924"/>
      <c r="C500" s="924"/>
      <c r="D500" s="924"/>
      <c r="E500" s="924"/>
    </row>
    <row r="501" spans="1:5" x14ac:dyDescent="0.2">
      <c r="A501" s="923"/>
      <c r="B501" s="924"/>
      <c r="C501" s="924"/>
      <c r="D501" s="924"/>
      <c r="E501" s="924"/>
    </row>
    <row r="502" spans="1:5" x14ac:dyDescent="0.2">
      <c r="A502" s="923"/>
      <c r="B502" s="924"/>
      <c r="C502" s="924"/>
      <c r="D502" s="924"/>
      <c r="E502" s="924"/>
    </row>
    <row r="503" spans="1:5" x14ac:dyDescent="0.2">
      <c r="A503" s="923"/>
      <c r="B503" s="924"/>
      <c r="C503" s="924"/>
      <c r="D503" s="924"/>
      <c r="E503" s="924"/>
    </row>
    <row r="504" spans="1:5" x14ac:dyDescent="0.2">
      <c r="A504" s="923"/>
      <c r="B504" s="924"/>
      <c r="C504" s="924"/>
      <c r="D504" s="924"/>
      <c r="E504" s="924"/>
    </row>
    <row r="505" spans="1:5" x14ac:dyDescent="0.2">
      <c r="A505" s="923"/>
      <c r="B505" s="924"/>
      <c r="C505" s="924"/>
      <c r="D505" s="924"/>
      <c r="E505" s="924"/>
    </row>
    <row r="506" spans="1:5" x14ac:dyDescent="0.2">
      <c r="A506" s="923"/>
      <c r="B506" s="924"/>
      <c r="C506" s="924"/>
      <c r="D506" s="924"/>
      <c r="E506" s="924"/>
    </row>
    <row r="507" spans="1:5" x14ac:dyDescent="0.2">
      <c r="A507" s="923"/>
      <c r="B507" s="924"/>
      <c r="C507" s="924"/>
      <c r="D507" s="924"/>
      <c r="E507" s="924"/>
    </row>
    <row r="508" spans="1:5" x14ac:dyDescent="0.2">
      <c r="A508" s="923"/>
      <c r="B508" s="924"/>
      <c r="C508" s="924"/>
      <c r="D508" s="924"/>
      <c r="E508" s="924"/>
    </row>
    <row r="509" spans="1:5" x14ac:dyDescent="0.2">
      <c r="A509" s="923"/>
      <c r="B509" s="924"/>
      <c r="C509" s="924"/>
      <c r="D509" s="924"/>
      <c r="E509" s="924"/>
    </row>
    <row r="510" spans="1:5" x14ac:dyDescent="0.2">
      <c r="A510" s="923"/>
      <c r="B510" s="924"/>
      <c r="C510" s="924"/>
      <c r="D510" s="924"/>
      <c r="E510" s="924"/>
    </row>
    <row r="511" spans="1:5" x14ac:dyDescent="0.2">
      <c r="A511" s="923"/>
      <c r="B511" s="924"/>
      <c r="C511" s="924"/>
      <c r="D511" s="924"/>
      <c r="E511" s="924"/>
    </row>
    <row r="512" spans="1:5" x14ac:dyDescent="0.2">
      <c r="A512" s="923"/>
      <c r="B512" s="924"/>
      <c r="C512" s="924"/>
      <c r="D512" s="924"/>
      <c r="E512" s="924"/>
    </row>
    <row r="513" spans="1:5" x14ac:dyDescent="0.2">
      <c r="A513" s="923"/>
      <c r="B513" s="924"/>
      <c r="C513" s="924"/>
      <c r="D513" s="924"/>
      <c r="E513" s="924"/>
    </row>
    <row r="514" spans="1:5" x14ac:dyDescent="0.2">
      <c r="A514" s="923"/>
      <c r="B514" s="924"/>
      <c r="C514" s="924"/>
      <c r="D514" s="924"/>
      <c r="E514" s="924"/>
    </row>
    <row r="515" spans="1:5" x14ac:dyDescent="0.2">
      <c r="A515" s="923"/>
      <c r="B515" s="924"/>
      <c r="C515" s="924"/>
      <c r="D515" s="924"/>
      <c r="E515" s="924"/>
    </row>
    <row r="516" spans="1:5" x14ac:dyDescent="0.2">
      <c r="A516" s="923"/>
      <c r="B516" s="924"/>
      <c r="C516" s="924"/>
      <c r="D516" s="924"/>
      <c r="E516" s="924"/>
    </row>
    <row r="517" spans="1:5" x14ac:dyDescent="0.2">
      <c r="A517" s="923"/>
      <c r="B517" s="924"/>
      <c r="C517" s="924"/>
      <c r="D517" s="924"/>
      <c r="E517" s="924"/>
    </row>
    <row r="518" spans="1:5" x14ac:dyDescent="0.2">
      <c r="A518" s="923"/>
      <c r="B518" s="924"/>
      <c r="C518" s="924"/>
      <c r="D518" s="924"/>
      <c r="E518" s="924"/>
    </row>
    <row r="519" spans="1:5" x14ac:dyDescent="0.2">
      <c r="A519" s="923"/>
      <c r="B519" s="924"/>
      <c r="C519" s="924"/>
      <c r="D519" s="924"/>
      <c r="E519" s="924"/>
    </row>
    <row r="520" spans="1:5" x14ac:dyDescent="0.2">
      <c r="A520" s="923"/>
      <c r="B520" s="924"/>
      <c r="C520" s="924"/>
      <c r="D520" s="924"/>
      <c r="E520" s="924"/>
    </row>
    <row r="521" spans="1:5" x14ac:dyDescent="0.2">
      <c r="A521" s="923"/>
      <c r="B521" s="924"/>
      <c r="C521" s="924"/>
      <c r="D521" s="924"/>
      <c r="E521" s="924"/>
    </row>
    <row r="522" spans="1:5" x14ac:dyDescent="0.2">
      <c r="A522" s="923"/>
      <c r="B522" s="924"/>
      <c r="C522" s="924"/>
      <c r="D522" s="924"/>
      <c r="E522" s="924"/>
    </row>
    <row r="523" spans="1:5" x14ac:dyDescent="0.2">
      <c r="A523" s="923"/>
      <c r="B523" s="924"/>
      <c r="C523" s="924"/>
      <c r="D523" s="924"/>
      <c r="E523" s="924"/>
    </row>
    <row r="524" spans="1:5" x14ac:dyDescent="0.2">
      <c r="A524" s="923"/>
      <c r="B524" s="924"/>
      <c r="C524" s="924"/>
      <c r="D524" s="924"/>
      <c r="E524" s="924"/>
    </row>
    <row r="525" spans="1:5" x14ac:dyDescent="0.2">
      <c r="A525" s="923"/>
      <c r="B525" s="924"/>
      <c r="C525" s="924"/>
      <c r="D525" s="924"/>
      <c r="E525" s="924"/>
    </row>
    <row r="526" spans="1:5" x14ac:dyDescent="0.2">
      <c r="A526" s="923"/>
      <c r="B526" s="924"/>
      <c r="C526" s="924"/>
      <c r="D526" s="924"/>
      <c r="E526" s="924"/>
    </row>
    <row r="527" spans="1:5" x14ac:dyDescent="0.2">
      <c r="A527" s="923"/>
      <c r="B527" s="924"/>
      <c r="C527" s="924"/>
      <c r="D527" s="924"/>
      <c r="E527" s="924"/>
    </row>
    <row r="528" spans="1:5" x14ac:dyDescent="0.2">
      <c r="A528" s="923"/>
      <c r="B528" s="924"/>
      <c r="C528" s="924"/>
      <c r="D528" s="924"/>
      <c r="E528" s="924"/>
    </row>
    <row r="529" spans="1:5" x14ac:dyDescent="0.2">
      <c r="A529" s="923"/>
      <c r="B529" s="924"/>
      <c r="C529" s="924"/>
      <c r="D529" s="924"/>
      <c r="E529" s="924"/>
    </row>
    <row r="530" spans="1:5" x14ac:dyDescent="0.2">
      <c r="A530" s="923"/>
      <c r="B530" s="924"/>
      <c r="C530" s="924"/>
      <c r="D530" s="924"/>
      <c r="E530" s="924"/>
    </row>
    <row r="531" spans="1:5" x14ac:dyDescent="0.2">
      <c r="A531" s="923"/>
      <c r="B531" s="924"/>
      <c r="C531" s="924"/>
      <c r="D531" s="924"/>
      <c r="E531" s="924"/>
    </row>
    <row r="532" spans="1:5" x14ac:dyDescent="0.2">
      <c r="A532" s="923"/>
      <c r="B532" s="924"/>
      <c r="C532" s="924"/>
      <c r="D532" s="924"/>
      <c r="E532" s="924"/>
    </row>
    <row r="533" spans="1:5" x14ac:dyDescent="0.2">
      <c r="A533" s="923"/>
      <c r="B533" s="924"/>
      <c r="C533" s="924"/>
      <c r="D533" s="924"/>
      <c r="E533" s="924"/>
    </row>
    <row r="534" spans="1:5" x14ac:dyDescent="0.2">
      <c r="A534" s="923"/>
      <c r="B534" s="924"/>
      <c r="C534" s="924"/>
      <c r="D534" s="924"/>
      <c r="E534" s="924"/>
    </row>
    <row r="535" spans="1:5" x14ac:dyDescent="0.2">
      <c r="A535" s="923"/>
      <c r="B535" s="924"/>
      <c r="C535" s="924"/>
      <c r="D535" s="924"/>
      <c r="E535" s="924"/>
    </row>
    <row r="536" spans="1:5" x14ac:dyDescent="0.2">
      <c r="A536" s="923"/>
      <c r="B536" s="924"/>
      <c r="C536" s="924"/>
      <c r="D536" s="924"/>
      <c r="E536" s="924"/>
    </row>
    <row r="537" spans="1:5" x14ac:dyDescent="0.2">
      <c r="A537" s="923"/>
      <c r="B537" s="924"/>
      <c r="C537" s="924"/>
      <c r="D537" s="924"/>
      <c r="E537" s="924"/>
    </row>
    <row r="538" spans="1:5" x14ac:dyDescent="0.2">
      <c r="A538" s="923"/>
      <c r="B538" s="924"/>
      <c r="C538" s="924"/>
      <c r="D538" s="924"/>
      <c r="E538" s="924"/>
    </row>
    <row r="539" spans="1:5" x14ac:dyDescent="0.2">
      <c r="A539" s="923"/>
      <c r="B539" s="924"/>
      <c r="C539" s="924"/>
      <c r="D539" s="924"/>
      <c r="E539" s="924"/>
    </row>
    <row r="540" spans="1:5" x14ac:dyDescent="0.2">
      <c r="A540" s="923"/>
      <c r="B540" s="924"/>
      <c r="C540" s="924"/>
      <c r="D540" s="924"/>
      <c r="E540" s="924"/>
    </row>
    <row r="541" spans="1:5" x14ac:dyDescent="0.2">
      <c r="A541" s="923"/>
      <c r="B541" s="924"/>
      <c r="C541" s="924"/>
      <c r="D541" s="924"/>
      <c r="E541" s="924"/>
    </row>
    <row r="542" spans="1:5" x14ac:dyDescent="0.2">
      <c r="A542" s="923"/>
      <c r="B542" s="924"/>
      <c r="C542" s="924"/>
      <c r="D542" s="924"/>
      <c r="E542" s="924"/>
    </row>
    <row r="543" spans="1:5" x14ac:dyDescent="0.2">
      <c r="A543" s="923"/>
      <c r="B543" s="924"/>
      <c r="C543" s="924"/>
      <c r="D543" s="924"/>
      <c r="E543" s="924"/>
    </row>
    <row r="544" spans="1:5" x14ac:dyDescent="0.2">
      <c r="A544" s="923"/>
      <c r="B544" s="924"/>
      <c r="C544" s="924"/>
      <c r="D544" s="924"/>
      <c r="E544" s="924"/>
    </row>
    <row r="545" spans="1:5" x14ac:dyDescent="0.2">
      <c r="A545" s="923"/>
      <c r="B545" s="924"/>
      <c r="C545" s="924"/>
      <c r="D545" s="924"/>
      <c r="E545" s="924"/>
    </row>
    <row r="546" spans="1:5" x14ac:dyDescent="0.2">
      <c r="A546" s="923"/>
      <c r="B546" s="924"/>
      <c r="C546" s="924"/>
      <c r="D546" s="924"/>
      <c r="E546" s="924"/>
    </row>
    <row r="547" spans="1:5" x14ac:dyDescent="0.2">
      <c r="A547" s="923"/>
      <c r="B547" s="924"/>
      <c r="C547" s="924"/>
      <c r="D547" s="924"/>
      <c r="E547" s="924"/>
    </row>
    <row r="548" spans="1:5" x14ac:dyDescent="0.2">
      <c r="A548" s="923"/>
      <c r="B548" s="924"/>
      <c r="C548" s="924"/>
      <c r="D548" s="924"/>
      <c r="E548" s="924"/>
    </row>
    <row r="549" spans="1:5" x14ac:dyDescent="0.2">
      <c r="A549" s="923"/>
      <c r="B549" s="924"/>
      <c r="C549" s="924"/>
      <c r="D549" s="924"/>
      <c r="E549" s="924"/>
    </row>
    <row r="550" spans="1:5" x14ac:dyDescent="0.2">
      <c r="A550" s="923"/>
      <c r="B550" s="924"/>
      <c r="C550" s="924"/>
      <c r="D550" s="924"/>
      <c r="E550" s="924"/>
    </row>
    <row r="551" spans="1:5" x14ac:dyDescent="0.2">
      <c r="A551" s="923"/>
      <c r="B551" s="924"/>
      <c r="C551" s="924"/>
      <c r="D551" s="924"/>
      <c r="E551" s="924"/>
    </row>
    <row r="552" spans="1:5" x14ac:dyDescent="0.2">
      <c r="A552" s="923"/>
      <c r="B552" s="924"/>
      <c r="C552" s="924"/>
      <c r="D552" s="924"/>
      <c r="E552" s="924"/>
    </row>
    <row r="553" spans="1:5" x14ac:dyDescent="0.2">
      <c r="A553" s="923"/>
      <c r="B553" s="924"/>
      <c r="C553" s="924"/>
      <c r="D553" s="924"/>
      <c r="E553" s="924"/>
    </row>
    <row r="554" spans="1:5" x14ac:dyDescent="0.2">
      <c r="A554" s="923"/>
      <c r="B554" s="924"/>
      <c r="C554" s="924"/>
      <c r="D554" s="924"/>
      <c r="E554" s="924"/>
    </row>
    <row r="555" spans="1:5" x14ac:dyDescent="0.2">
      <c r="A555" s="923"/>
      <c r="B555" s="924"/>
      <c r="C555" s="924"/>
      <c r="D555" s="924"/>
      <c r="E555" s="924"/>
    </row>
    <row r="556" spans="1:5" x14ac:dyDescent="0.2">
      <c r="A556" s="923"/>
      <c r="B556" s="924"/>
      <c r="C556" s="924"/>
      <c r="D556" s="924"/>
      <c r="E556" s="924"/>
    </row>
    <row r="557" spans="1:5" x14ac:dyDescent="0.2">
      <c r="A557" s="923"/>
      <c r="B557" s="924"/>
      <c r="C557" s="924"/>
      <c r="D557" s="924"/>
      <c r="E557" s="924"/>
    </row>
    <row r="558" spans="1:5" x14ac:dyDescent="0.2">
      <c r="A558" s="923"/>
      <c r="B558" s="924"/>
      <c r="C558" s="924"/>
      <c r="D558" s="924"/>
      <c r="E558" s="924"/>
    </row>
    <row r="559" spans="1:5" x14ac:dyDescent="0.2">
      <c r="A559" s="923"/>
      <c r="B559" s="924"/>
      <c r="C559" s="924"/>
      <c r="D559" s="924"/>
      <c r="E559" s="924"/>
    </row>
    <row r="560" spans="1:5" x14ac:dyDescent="0.2">
      <c r="A560" s="923"/>
      <c r="B560" s="924"/>
      <c r="C560" s="924"/>
      <c r="D560" s="924"/>
      <c r="E560" s="924"/>
    </row>
    <row r="561" spans="1:5" x14ac:dyDescent="0.2">
      <c r="A561" s="923"/>
      <c r="B561" s="924"/>
      <c r="C561" s="924"/>
      <c r="D561" s="924"/>
      <c r="E561" s="924"/>
    </row>
    <row r="562" spans="1:5" x14ac:dyDescent="0.2">
      <c r="A562" s="923"/>
      <c r="B562" s="924"/>
      <c r="C562" s="924"/>
      <c r="D562" s="924"/>
      <c r="E562" s="924"/>
    </row>
    <row r="563" spans="1:5" x14ac:dyDescent="0.2">
      <c r="A563" s="923"/>
      <c r="B563" s="924"/>
      <c r="C563" s="924"/>
      <c r="D563" s="924"/>
      <c r="E563" s="924"/>
    </row>
    <row r="564" spans="1:5" x14ac:dyDescent="0.2">
      <c r="A564" s="923"/>
      <c r="B564" s="924"/>
      <c r="C564" s="924"/>
      <c r="D564" s="924"/>
      <c r="E564" s="924"/>
    </row>
    <row r="565" spans="1:5" x14ac:dyDescent="0.2">
      <c r="A565" s="923"/>
      <c r="B565" s="924"/>
      <c r="C565" s="924"/>
      <c r="D565" s="924"/>
      <c r="E565" s="924"/>
    </row>
    <row r="566" spans="1:5" x14ac:dyDescent="0.2">
      <c r="A566" s="923"/>
      <c r="B566" s="924"/>
      <c r="C566" s="924"/>
      <c r="D566" s="924"/>
      <c r="E566" s="924"/>
    </row>
  </sheetData>
  <sheetProtection algorithmName="SHA-512" hashValue="6SeOWqdfNppX4XEGhfJl4qKMaak5PIdVB96IG4Tm/WlOeiI2P4IEHH15fcXGrrGtdaoa3PBmgwMMrKQzRRbILg==" saltValue="AjZzn00kCifMD6RMyTsu6Q==" spinCount="100000" sheet="1" objects="1" scenarios="1"/>
  <mergeCells count="50">
    <mergeCell ref="B234:B237"/>
    <mergeCell ref="B227:B230"/>
    <mergeCell ref="B225:B226"/>
    <mergeCell ref="A224:A237"/>
    <mergeCell ref="B231:B232"/>
    <mergeCell ref="B220:B222"/>
    <mergeCell ref="A220:A222"/>
    <mergeCell ref="E125:E136"/>
    <mergeCell ref="A115:A122"/>
    <mergeCell ref="A123:A136"/>
    <mergeCell ref="B125:B126"/>
    <mergeCell ref="B127:B131"/>
    <mergeCell ref="B132:B133"/>
    <mergeCell ref="B134:B136"/>
    <mergeCell ref="C123:C124"/>
    <mergeCell ref="B123:B124"/>
    <mergeCell ref="E123:E124"/>
    <mergeCell ref="C121:C122"/>
    <mergeCell ref="B121:B122"/>
    <mergeCell ref="B141:B146"/>
    <mergeCell ref="B138:B139"/>
    <mergeCell ref="B116:B120"/>
    <mergeCell ref="C87:C88"/>
    <mergeCell ref="E81:E114"/>
    <mergeCell ref="E116:E120"/>
    <mergeCell ref="C97:C98"/>
    <mergeCell ref="C99:C100"/>
    <mergeCell ref="C101:C102"/>
    <mergeCell ref="C103:C104"/>
    <mergeCell ref="C93:C94"/>
    <mergeCell ref="C109:C110"/>
    <mergeCell ref="C111:C112"/>
    <mergeCell ref="C95:C96"/>
    <mergeCell ref="C91:C92"/>
    <mergeCell ref="A240:A241"/>
    <mergeCell ref="B147:B218"/>
    <mergeCell ref="A137:A219"/>
    <mergeCell ref="A2:E2"/>
    <mergeCell ref="E62:E64"/>
    <mergeCell ref="C81:C82"/>
    <mergeCell ref="C83:C86"/>
    <mergeCell ref="C113:C114"/>
    <mergeCell ref="B111:B114"/>
    <mergeCell ref="A81:A114"/>
    <mergeCell ref="B81:B86"/>
    <mergeCell ref="B87:B94"/>
    <mergeCell ref="B95:B110"/>
    <mergeCell ref="C105:C106"/>
    <mergeCell ref="C107:C108"/>
    <mergeCell ref="C89:C90"/>
  </mergeCells>
  <phoneticPr fontId="66" type="noConversion"/>
  <pageMargins left="0.70866141732283472" right="0.70866141732283472" top="0.78740157480314965" bottom="0.78740157480314965" header="0.31496062992125984" footer="0.31496062992125984"/>
  <pageSetup paperSize="9" scale="80" fitToHeight="15" orientation="landscape"/>
  <headerFooter>
    <oddFooter>&amp;LVersion: 21.11.2024&amp;CVerhandlungsunterlagen SGB XI (vereinfacht B2)
&amp;1#&amp;RPSK-Beschluss vom  07.11.2024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4"/>
  <sheetViews>
    <sheetView showGridLines="0" zoomScaleNormal="100" workbookViewId="0">
      <selection activeCell="A2" sqref="A2:L2"/>
    </sheetView>
  </sheetViews>
  <sheetFormatPr baseColWidth="10" defaultColWidth="11" defaultRowHeight="14.25" x14ac:dyDescent="0.2"/>
  <cols>
    <col min="1" max="1" width="1.5" style="2" customWidth="1"/>
    <col min="2" max="2" width="24.125" style="2" customWidth="1"/>
    <col min="3" max="12" width="13.625" style="2" customWidth="1"/>
    <col min="13" max="13" width="1.625" style="2" customWidth="1"/>
    <col min="14" max="16384" width="11" style="2"/>
  </cols>
  <sheetData>
    <row r="1" spans="1:13" ht="14.25" customHeight="1" x14ac:dyDescent="0.2">
      <c r="A1" s="1878" t="str">
        <f>'B2_Allgemeine Angaben'!A1:N1</f>
        <v>Vereinfachtes Verfahren der Aufforderung zum Abschluss einer Pflegesatzvereinbarung gemäß § 84, 85 SGB XI (Stand 31.10.2024)</v>
      </c>
      <c r="B1" s="1879"/>
      <c r="C1" s="1879"/>
      <c r="D1" s="1879"/>
      <c r="E1" s="1879"/>
      <c r="F1" s="1879"/>
      <c r="G1" s="1879"/>
      <c r="H1" s="1879"/>
      <c r="I1" s="1879"/>
      <c r="J1" s="1879"/>
      <c r="K1" s="1879"/>
      <c r="L1" s="1879"/>
      <c r="M1" s="129"/>
    </row>
    <row r="2" spans="1:13" ht="14.25" customHeight="1" x14ac:dyDescent="0.2">
      <c r="A2" s="1880" t="s">
        <v>579</v>
      </c>
      <c r="B2" s="1881"/>
      <c r="C2" s="1881"/>
      <c r="D2" s="1881"/>
      <c r="E2" s="1881"/>
      <c r="F2" s="1881"/>
      <c r="G2" s="1881"/>
      <c r="H2" s="1881"/>
      <c r="I2" s="1881"/>
      <c r="J2" s="1881"/>
      <c r="K2" s="1881"/>
      <c r="L2" s="1881"/>
      <c r="M2" s="8"/>
    </row>
    <row r="3" spans="1:13" ht="14.25" customHeight="1" x14ac:dyDescent="0.2">
      <c r="A3" s="941"/>
      <c r="B3" s="942" t="s">
        <v>755</v>
      </c>
      <c r="C3" s="943">
        <f>B2_Personalkostenübersicht!G8</f>
        <v>0</v>
      </c>
      <c r="D3" s="944"/>
      <c r="E3" s="945" t="str">
        <f>IF(C3="Tarif/ AVR maßgebend","Tarif:","")</f>
        <v/>
      </c>
      <c r="F3" s="946">
        <f>B2_Personalkostenübersicht!G9</f>
        <v>0</v>
      </c>
      <c r="G3" s="944"/>
      <c r="H3" s="944"/>
      <c r="I3" s="944"/>
      <c r="J3" s="944"/>
      <c r="K3" s="944"/>
      <c r="L3" s="944"/>
      <c r="M3" s="8"/>
    </row>
    <row r="4" spans="1:13" x14ac:dyDescent="0.2">
      <c r="A4" s="233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8"/>
    </row>
    <row r="5" spans="1:13" x14ac:dyDescent="0.2">
      <c r="A5" s="233"/>
      <c r="B5" s="1882" t="s">
        <v>420</v>
      </c>
      <c r="C5" s="1882"/>
      <c r="D5" s="1882"/>
      <c r="E5" s="947"/>
      <c r="F5" s="948" t="s">
        <v>421</v>
      </c>
      <c r="G5" s="949" t="str">
        <f>IF('B2_Allgemeine Angaben'!D6:D6&gt;0,'B2_Allgemeine Angaben'!D6:D6,"")</f>
        <v/>
      </c>
      <c r="H5" s="950"/>
      <c r="I5" s="950"/>
      <c r="J5" s="210"/>
      <c r="K5" s="210"/>
      <c r="L5" s="210"/>
      <c r="M5" s="8"/>
    </row>
    <row r="6" spans="1:13" x14ac:dyDescent="0.2">
      <c r="A6" s="233"/>
      <c r="B6" s="1863" t="str">
        <f>IF('B2_Allgemeine Angaben'!D12:D12&gt;0,'B2_Allgemeine Angaben'!D12:D12,"")</f>
        <v/>
      </c>
      <c r="C6" s="1863"/>
      <c r="D6" s="1863"/>
      <c r="E6" s="947"/>
      <c r="F6" s="951" t="s">
        <v>422</v>
      </c>
      <c r="G6" s="952" t="str">
        <f>IF('B2_Allgemeine Angaben'!D18:D18&gt;0,'B2_Allgemeine Angaben'!D18:D18,"")</f>
        <v/>
      </c>
      <c r="H6" s="950"/>
      <c r="I6" s="950"/>
      <c r="J6" s="210"/>
      <c r="K6" s="210"/>
      <c r="L6" s="210"/>
      <c r="M6" s="8"/>
    </row>
    <row r="7" spans="1:13" x14ac:dyDescent="0.2">
      <c r="A7" s="233"/>
      <c r="B7" s="1863" t="str">
        <f>IF('B2_Allgemeine Angaben'!D14:D14&gt;0,'B2_Allgemeine Angaben'!D14:D14,"")</f>
        <v/>
      </c>
      <c r="C7" s="1863"/>
      <c r="D7" s="1863"/>
      <c r="E7" s="947"/>
      <c r="F7" s="951" t="s">
        <v>423</v>
      </c>
      <c r="G7" s="952" t="str">
        <f>IF('B2_Allgemeine Angaben'!J18:J18&gt;0,'B2_Allgemeine Angaben'!J20:J20,"")</f>
        <v/>
      </c>
      <c r="H7" s="950"/>
      <c r="I7" s="950"/>
      <c r="J7" s="210"/>
      <c r="K7" s="210"/>
      <c r="L7" s="210"/>
      <c r="M7" s="8"/>
    </row>
    <row r="8" spans="1:13" x14ac:dyDescent="0.2">
      <c r="A8" s="233"/>
      <c r="B8" s="1863" t="str">
        <f>IF('B2_Allgemeine Angaben'!D16:D16&gt;0,'B2_Allgemeine Angaben'!D16:D16,"")</f>
        <v/>
      </c>
      <c r="C8" s="1863"/>
      <c r="D8" s="1863"/>
      <c r="E8" s="947"/>
      <c r="F8" s="951" t="s">
        <v>424</v>
      </c>
      <c r="G8" s="952" t="str">
        <f>IF('B2_Allgemeine Angaben'!D20:D20&gt;0,'B2_Allgemeine Angaben'!D20:D20,"")</f>
        <v/>
      </c>
      <c r="H8" s="950"/>
      <c r="I8" s="950"/>
      <c r="J8" s="210"/>
      <c r="K8" s="210"/>
      <c r="L8" s="210"/>
      <c r="M8" s="8"/>
    </row>
    <row r="9" spans="1:13" x14ac:dyDescent="0.2">
      <c r="A9" s="233"/>
      <c r="B9" s="947" t="str">
        <f>'B2_Allgemeine Angaben'!K6</f>
        <v>Institutionskennzeichen (IK):</v>
      </c>
      <c r="C9" s="952">
        <f>'B2_Allgemeine Angaben'!L6:L6</f>
        <v>0</v>
      </c>
      <c r="D9" s="950"/>
      <c r="E9" s="947"/>
      <c r="F9" s="953" t="s">
        <v>450</v>
      </c>
      <c r="G9" s="947"/>
      <c r="H9" s="947"/>
      <c r="I9" s="952">
        <f>'B2_Allgemeine Angaben'!L7:L7</f>
        <v>0</v>
      </c>
      <c r="J9" s="210"/>
      <c r="K9" s="210"/>
      <c r="L9" s="210"/>
      <c r="M9" s="8"/>
    </row>
    <row r="10" spans="1:13" x14ac:dyDescent="0.2">
      <c r="A10" s="233"/>
      <c r="B10" s="1882" t="s">
        <v>425</v>
      </c>
      <c r="C10" s="1882"/>
      <c r="D10" s="1882"/>
      <c r="E10" s="947"/>
      <c r="F10" s="948"/>
      <c r="G10" s="947"/>
      <c r="H10" s="947"/>
      <c r="I10" s="947"/>
      <c r="J10" s="210"/>
      <c r="K10" s="210"/>
      <c r="L10" s="210"/>
      <c r="M10" s="8"/>
    </row>
    <row r="11" spans="1:13" x14ac:dyDescent="0.2">
      <c r="A11" s="233"/>
      <c r="B11" s="1863" t="str">
        <f>IF('B2_Allgemeine Angaben'!D26:D26&gt;0,'B2_Allgemeine Angaben'!D26:D26,"")</f>
        <v/>
      </c>
      <c r="C11" s="1863"/>
      <c r="D11" s="1863"/>
      <c r="E11" s="947"/>
      <c r="F11" s="951" t="s">
        <v>422</v>
      </c>
      <c r="G11" s="952" t="str">
        <f>IF('B2_Allgemeine Angaben'!D32:D32&gt;0,'B2_Allgemeine Angaben'!D32:D32,"")</f>
        <v/>
      </c>
      <c r="H11" s="950"/>
      <c r="I11" s="950"/>
      <c r="J11" s="210"/>
      <c r="K11" s="210"/>
      <c r="L11" s="210"/>
      <c r="M11" s="8"/>
    </row>
    <row r="12" spans="1:13" x14ac:dyDescent="0.2">
      <c r="A12" s="233"/>
      <c r="B12" s="1863" t="str">
        <f>IF('B2_Allgemeine Angaben'!D28:D28&gt;0,'B2_Allgemeine Angaben'!D28:D28,"")</f>
        <v/>
      </c>
      <c r="C12" s="1863"/>
      <c r="D12" s="1863"/>
      <c r="E12" s="947"/>
      <c r="F12" s="951" t="s">
        <v>423</v>
      </c>
      <c r="G12" s="952" t="str">
        <f>IF('B2_Allgemeine Angaben'!J32:J32&gt;0,'B2_Allgemeine Angaben'!J32:J32,"")</f>
        <v/>
      </c>
      <c r="H12" s="950"/>
      <c r="I12" s="950"/>
      <c r="J12" s="210"/>
      <c r="K12" s="210"/>
      <c r="L12" s="210"/>
      <c r="M12" s="8"/>
    </row>
    <row r="13" spans="1:13" x14ac:dyDescent="0.2">
      <c r="A13" s="233"/>
      <c r="B13" s="1863" t="str">
        <f>IF('B2_Allgemeine Angaben'!D30:D30&gt;0,'B2_Allgemeine Angaben'!D30:D30,"")</f>
        <v/>
      </c>
      <c r="C13" s="1863"/>
      <c r="D13" s="1863"/>
      <c r="E13" s="947"/>
      <c r="F13" s="951" t="s">
        <v>424</v>
      </c>
      <c r="G13" s="952" t="str">
        <f>IF('B2_Allgemeine Angaben'!D34:D34&gt;0,'B2_Allgemeine Angaben'!D34:D34,"")</f>
        <v/>
      </c>
      <c r="H13" s="950"/>
      <c r="I13" s="950"/>
      <c r="J13" s="210"/>
      <c r="K13" s="210"/>
      <c r="L13" s="210"/>
      <c r="M13" s="8"/>
    </row>
    <row r="14" spans="1:13" x14ac:dyDescent="0.2">
      <c r="A14" s="233"/>
      <c r="B14" s="954"/>
      <c r="C14" s="954"/>
      <c r="D14" s="954"/>
      <c r="E14" s="947"/>
      <c r="F14" s="955"/>
      <c r="G14" s="955"/>
      <c r="H14" s="947"/>
      <c r="I14" s="947"/>
      <c r="J14" s="210"/>
      <c r="K14" s="210"/>
      <c r="L14" s="210"/>
      <c r="M14" s="8"/>
    </row>
    <row r="15" spans="1:13" x14ac:dyDescent="0.2">
      <c r="A15" s="233"/>
      <c r="B15" s="1864" t="s">
        <v>582</v>
      </c>
      <c r="C15" s="1865"/>
      <c r="D15" s="1865"/>
      <c r="E15" s="956" t="s">
        <v>426</v>
      </c>
      <c r="F15" s="957" t="str">
        <f>IF('B2_Allgemeine Angaben'!H52&gt;0,'B2_Allgemeine Angaben'!H52,"")</f>
        <v/>
      </c>
      <c r="G15" s="958" t="s">
        <v>427</v>
      </c>
      <c r="H15" s="957" t="str">
        <f>IF('B2_Allgemeine Angaben'!K52&gt;0,'B2_Allgemeine Angaben'!K52,"")</f>
        <v/>
      </c>
      <c r="I15" s="959"/>
      <c r="J15" s="210"/>
      <c r="K15" s="210"/>
      <c r="L15" s="210"/>
      <c r="M15" s="8"/>
    </row>
    <row r="16" spans="1:13" x14ac:dyDescent="0.2">
      <c r="A16" s="233"/>
      <c r="B16" s="947"/>
      <c r="C16" s="947"/>
      <c r="D16" s="947"/>
      <c r="E16" s="947"/>
      <c r="F16" s="955"/>
      <c r="G16" s="955"/>
      <c r="H16" s="947"/>
      <c r="I16" s="947"/>
      <c r="J16" s="210"/>
      <c r="K16" s="210"/>
      <c r="L16" s="210"/>
      <c r="M16" s="8"/>
    </row>
    <row r="17" spans="1:13" x14ac:dyDescent="0.2">
      <c r="A17" s="233"/>
      <c r="B17" s="960" t="s">
        <v>428</v>
      </c>
      <c r="C17" s="961" t="s">
        <v>429</v>
      </c>
      <c r="D17" s="961" t="s">
        <v>430</v>
      </c>
      <c r="E17" s="961" t="s">
        <v>431</v>
      </c>
      <c r="F17" s="961" t="s">
        <v>432</v>
      </c>
      <c r="G17" s="961" t="s">
        <v>433</v>
      </c>
      <c r="H17" s="947"/>
      <c r="I17" s="210"/>
      <c r="J17" s="210"/>
      <c r="K17" s="210"/>
      <c r="L17" s="210"/>
      <c r="M17" s="8"/>
    </row>
    <row r="18" spans="1:13" ht="15" customHeight="1" x14ac:dyDescent="0.2">
      <c r="A18" s="233"/>
      <c r="B18" s="962" t="s">
        <v>401</v>
      </c>
      <c r="C18" s="963">
        <f>B2_Kalkulation!H14</f>
        <v>0</v>
      </c>
      <c r="D18" s="963">
        <f>B2_Kalkulation!I14</f>
        <v>0</v>
      </c>
      <c r="E18" s="963">
        <f>B2_Kalkulation!J14</f>
        <v>0</v>
      </c>
      <c r="F18" s="963">
        <f>B2_Kalkulation!K14</f>
        <v>0</v>
      </c>
      <c r="G18" s="963">
        <f>B2_Kalkulation!L14</f>
        <v>0</v>
      </c>
      <c r="H18" s="947"/>
      <c r="I18" s="210"/>
      <c r="J18" s="210"/>
      <c r="K18" s="210"/>
      <c r="L18" s="210"/>
      <c r="M18" s="8"/>
    </row>
    <row r="19" spans="1:13" x14ac:dyDescent="0.2">
      <c r="A19" s="964"/>
      <c r="B19" s="965" t="s">
        <v>831</v>
      </c>
      <c r="C19" s="966">
        <f>B2_Kalkulation!H17</f>
        <v>0</v>
      </c>
      <c r="D19" s="966">
        <f>B2_Kalkulation!I17</f>
        <v>0</v>
      </c>
      <c r="E19" s="966">
        <f>B2_Kalkulation!J17</f>
        <v>0</v>
      </c>
      <c r="F19" s="966">
        <f>B2_Kalkulation!K17</f>
        <v>0</v>
      </c>
      <c r="G19" s="966">
        <f>B2_Kalkulation!L17</f>
        <v>0</v>
      </c>
      <c r="H19" s="947"/>
      <c r="I19" s="210"/>
      <c r="J19" s="210"/>
      <c r="K19" s="210"/>
      <c r="L19" s="210"/>
      <c r="M19" s="8"/>
    </row>
    <row r="20" spans="1:13" x14ac:dyDescent="0.2">
      <c r="A20" s="233"/>
      <c r="B20" s="947"/>
      <c r="C20" s="947"/>
      <c r="D20" s="947"/>
      <c r="E20" s="947"/>
      <c r="F20" s="947"/>
      <c r="G20" s="947"/>
      <c r="H20" s="947"/>
      <c r="I20" s="210"/>
      <c r="J20" s="210"/>
      <c r="K20" s="210"/>
      <c r="L20" s="210"/>
      <c r="M20" s="8"/>
    </row>
    <row r="21" spans="1:13" x14ac:dyDescent="0.2">
      <c r="A21" s="233"/>
      <c r="B21" s="1866" t="s">
        <v>434</v>
      </c>
      <c r="C21" s="1866"/>
      <c r="D21" s="1866"/>
      <c r="E21" s="1866"/>
      <c r="F21" s="1866"/>
      <c r="G21" s="1866"/>
      <c r="H21" s="1866"/>
      <c r="I21" s="1875" t="s">
        <v>928</v>
      </c>
      <c r="J21" s="1876"/>
      <c r="K21" s="1876"/>
      <c r="L21" s="1877"/>
      <c r="M21" s="8"/>
    </row>
    <row r="22" spans="1:13" x14ac:dyDescent="0.2">
      <c r="A22" s="233"/>
      <c r="B22" s="960" t="s">
        <v>435</v>
      </c>
      <c r="C22" s="961" t="s">
        <v>429</v>
      </c>
      <c r="D22" s="967" t="s">
        <v>430</v>
      </c>
      <c r="E22" s="967" t="s">
        <v>431</v>
      </c>
      <c r="F22" s="967" t="s">
        <v>432</v>
      </c>
      <c r="G22" s="967" t="s">
        <v>433</v>
      </c>
      <c r="H22" s="968" t="str">
        <f>IF(KAT!A18=0,"","Fachkraftquote")</f>
        <v/>
      </c>
      <c r="I22" s="969"/>
      <c r="J22" s="970" t="s">
        <v>339</v>
      </c>
      <c r="K22" s="961" t="s">
        <v>340</v>
      </c>
      <c r="L22" s="961" t="s">
        <v>341</v>
      </c>
      <c r="M22" s="8"/>
    </row>
    <row r="23" spans="1:13" ht="15" thickBot="1" x14ac:dyDescent="0.25">
      <c r="A23" s="233"/>
      <c r="B23" s="962" t="s">
        <v>401</v>
      </c>
      <c r="C23" s="971">
        <f>B2_Kalkulation!I20</f>
        <v>0</v>
      </c>
      <c r="D23" s="971">
        <f>B2_Kalkulation!I21</f>
        <v>0</v>
      </c>
      <c r="E23" s="971">
        <f>B2_Kalkulation!I22</f>
        <v>0</v>
      </c>
      <c r="F23" s="971">
        <f>B2_Kalkulation!I23</f>
        <v>0</v>
      </c>
      <c r="G23" s="971">
        <f>B2_Kalkulation!I24</f>
        <v>0</v>
      </c>
      <c r="H23" s="972" t="str">
        <f>IF(OR(KAT!A18=0,KAT!A18=2),"",B2_Kalkulation!I26)</f>
        <v/>
      </c>
      <c r="I23" s="973"/>
      <c r="J23" s="974">
        <f>B2_Personalkostenübersicht!J373</f>
        <v>0</v>
      </c>
      <c r="K23" s="975">
        <f>B2_Personalkostenübersicht!K373</f>
        <v>0</v>
      </c>
      <c r="L23" s="975">
        <f>B2_Personalkostenübersicht!L373</f>
        <v>0</v>
      </c>
      <c r="M23" s="8"/>
    </row>
    <row r="24" spans="1:13" ht="28.5" customHeight="1" x14ac:dyDescent="0.2">
      <c r="A24" s="976"/>
      <c r="B24" s="965" t="s">
        <v>831</v>
      </c>
      <c r="C24" s="977">
        <f>B2_Kalkulation!O20</f>
        <v>0</v>
      </c>
      <c r="D24" s="977">
        <f>B2_Kalkulation!O21</f>
        <v>0</v>
      </c>
      <c r="E24" s="977">
        <f>B2_Kalkulation!O22</f>
        <v>0</v>
      </c>
      <c r="F24" s="977">
        <f>B2_Kalkulation!O23</f>
        <v>0</v>
      </c>
      <c r="G24" s="977">
        <f>B2_Kalkulation!O24</f>
        <v>0</v>
      </c>
      <c r="H24" s="978">
        <f>B2_Kalkulation!O26</f>
        <v>0</v>
      </c>
      <c r="I24" s="979" t="s">
        <v>1163</v>
      </c>
      <c r="J24" s="980" t="str">
        <f>IFERROR(B2_Personalkostenübersicht!C267,"")</f>
        <v/>
      </c>
      <c r="K24" s="1871" t="s">
        <v>1164</v>
      </c>
      <c r="L24" s="1872"/>
      <c r="M24" s="8"/>
    </row>
    <row r="25" spans="1:13" ht="9.75" customHeight="1" thickBot="1" x14ac:dyDescent="0.25">
      <c r="A25" s="233"/>
      <c r="B25" s="947"/>
      <c r="C25" s="947"/>
      <c r="D25" s="947"/>
      <c r="E25" s="947"/>
      <c r="F25" s="947"/>
      <c r="G25" s="947"/>
      <c r="H25" s="947"/>
      <c r="I25" s="981"/>
      <c r="J25" s="982"/>
      <c r="K25" s="1873"/>
      <c r="L25" s="1874"/>
      <c r="M25" s="8"/>
    </row>
    <row r="26" spans="1:13" ht="38.25" x14ac:dyDescent="0.2">
      <c r="A26" s="233"/>
      <c r="B26" s="983" t="s">
        <v>436</v>
      </c>
      <c r="C26" s="960" t="s">
        <v>141</v>
      </c>
      <c r="D26" s="984" t="s">
        <v>437</v>
      </c>
      <c r="E26" s="984" t="s">
        <v>62</v>
      </c>
      <c r="F26" s="960" t="s">
        <v>32</v>
      </c>
      <c r="G26" s="960" t="s">
        <v>33</v>
      </c>
      <c r="H26" s="984" t="s">
        <v>438</v>
      </c>
      <c r="I26" s="985" t="s">
        <v>439</v>
      </c>
      <c r="J26" s="210"/>
      <c r="K26" s="210"/>
      <c r="L26" s="210"/>
      <c r="M26" s="8"/>
    </row>
    <row r="27" spans="1:13" x14ac:dyDescent="0.2">
      <c r="A27" s="233"/>
      <c r="B27" s="962" t="s">
        <v>401</v>
      </c>
      <c r="C27" s="971">
        <f>B2_Kalkulation!I27</f>
        <v>0</v>
      </c>
      <c r="D27" s="971">
        <f>B2_Kalkulation!I29</f>
        <v>0</v>
      </c>
      <c r="E27" s="971">
        <f>B2_Kalkulation!I30</f>
        <v>0</v>
      </c>
      <c r="F27" s="971">
        <f>B2_Kalkulation!I31</f>
        <v>0</v>
      </c>
      <c r="G27" s="971">
        <f>B2_Kalkulation!I32</f>
        <v>0</v>
      </c>
      <c r="H27" s="971">
        <v>20</v>
      </c>
      <c r="I27" s="986">
        <f>B2_Kalkulation!J33</f>
        <v>0</v>
      </c>
      <c r="J27" s="210"/>
      <c r="K27" s="210"/>
      <c r="L27" s="210"/>
      <c r="M27" s="8"/>
    </row>
    <row r="28" spans="1:13" x14ac:dyDescent="0.2">
      <c r="A28" s="976"/>
      <c r="B28" s="987" t="s">
        <v>831</v>
      </c>
      <c r="C28" s="971">
        <f>B2_Kalkulation!O27</f>
        <v>0</v>
      </c>
      <c r="D28" s="971">
        <f>B2_Kalkulation!O29</f>
        <v>0</v>
      </c>
      <c r="E28" s="971">
        <f>B2_Kalkulation!O30</f>
        <v>0</v>
      </c>
      <c r="F28" s="971">
        <f>B2_Kalkulation!O31</f>
        <v>0</v>
      </c>
      <c r="G28" s="971">
        <f>B2_Kalkulation!O32</f>
        <v>0</v>
      </c>
      <c r="H28" s="971">
        <v>20</v>
      </c>
      <c r="I28" s="210"/>
      <c r="J28" s="210"/>
      <c r="K28" s="210"/>
      <c r="L28" s="210"/>
      <c r="M28" s="8"/>
    </row>
    <row r="29" spans="1:13" x14ac:dyDescent="0.2">
      <c r="A29" s="233"/>
      <c r="B29" s="988"/>
      <c r="C29" s="989"/>
      <c r="D29" s="989"/>
      <c r="E29" s="989"/>
      <c r="F29" s="989"/>
      <c r="G29" s="989"/>
      <c r="H29" s="989"/>
      <c r="I29" s="210"/>
      <c r="J29" s="210"/>
      <c r="K29" s="210"/>
      <c r="L29" s="210"/>
      <c r="M29" s="8"/>
    </row>
    <row r="30" spans="1:13" x14ac:dyDescent="0.2">
      <c r="A30" s="233"/>
      <c r="B30" s="990" t="s">
        <v>440</v>
      </c>
      <c r="C30" s="991"/>
      <c r="D30" s="991"/>
      <c r="E30" s="991"/>
      <c r="F30" s="991"/>
      <c r="G30" s="991"/>
      <c r="H30" s="991"/>
      <c r="I30" s="992"/>
      <c r="J30" s="210"/>
      <c r="K30" s="210"/>
      <c r="L30" s="210"/>
      <c r="M30" s="8"/>
    </row>
    <row r="31" spans="1:13" ht="38.25" x14ac:dyDescent="0.2">
      <c r="A31" s="233"/>
      <c r="B31" s="960" t="s">
        <v>441</v>
      </c>
      <c r="C31" s="960" t="s">
        <v>141</v>
      </c>
      <c r="D31" s="984" t="s">
        <v>437</v>
      </c>
      <c r="E31" s="984" t="s">
        <v>62</v>
      </c>
      <c r="F31" s="960" t="s">
        <v>32</v>
      </c>
      <c r="G31" s="960" t="s">
        <v>33</v>
      </c>
      <c r="H31" s="984" t="s">
        <v>438</v>
      </c>
      <c r="I31" s="984" t="s">
        <v>439</v>
      </c>
      <c r="J31" s="210"/>
      <c r="K31" s="210"/>
      <c r="L31" s="210"/>
      <c r="M31" s="8"/>
    </row>
    <row r="32" spans="1:13" x14ac:dyDescent="0.2">
      <c r="A32" s="233"/>
      <c r="B32" s="993">
        <f>B2_Kalkulation!L26</f>
        <v>0</v>
      </c>
      <c r="C32" s="993">
        <f>B2_Kalkulation!L27</f>
        <v>0</v>
      </c>
      <c r="D32" s="993">
        <f>B2_Kalkulation!L29</f>
        <v>0</v>
      </c>
      <c r="E32" s="993">
        <f>B2_Kalkulation!L30</f>
        <v>0</v>
      </c>
      <c r="F32" s="993">
        <f>B2_Kalkulation!L31</f>
        <v>0</v>
      </c>
      <c r="G32" s="993">
        <f>B2_Kalkulation!L32</f>
        <v>0</v>
      </c>
      <c r="H32" s="993">
        <f>B2_Kalkulation!L34</f>
        <v>0</v>
      </c>
      <c r="I32" s="994">
        <f>B2_Kalkulation!L33</f>
        <v>0</v>
      </c>
      <c r="J32" s="210"/>
      <c r="K32" s="210"/>
      <c r="L32" s="210"/>
      <c r="M32" s="8"/>
    </row>
    <row r="33" spans="1:13" ht="15" x14ac:dyDescent="0.25">
      <c r="A33" s="233"/>
      <c r="B33" s="995" t="s">
        <v>577</v>
      </c>
      <c r="C33" s="996"/>
      <c r="D33" s="996"/>
      <c r="E33" s="996"/>
      <c r="F33" s="996"/>
      <c r="G33" s="996"/>
      <c r="H33" s="996"/>
      <c r="I33" s="997"/>
      <c r="J33" s="998"/>
      <c r="K33" s="998"/>
      <c r="L33" s="999"/>
      <c r="M33" s="8"/>
    </row>
    <row r="34" spans="1:13" ht="38.25" x14ac:dyDescent="0.2">
      <c r="A34" s="233"/>
      <c r="B34" s="984" t="s">
        <v>38</v>
      </c>
      <c r="C34" s="984" t="s">
        <v>271</v>
      </c>
      <c r="D34" s="984" t="s">
        <v>581</v>
      </c>
      <c r="E34" s="984" t="s">
        <v>571</v>
      </c>
      <c r="F34" s="984" t="s">
        <v>572</v>
      </c>
      <c r="G34" s="984" t="s">
        <v>573</v>
      </c>
      <c r="H34" s="984" t="s">
        <v>578</v>
      </c>
      <c r="I34" s="984" t="s">
        <v>574</v>
      </c>
      <c r="J34" s="984" t="s">
        <v>53</v>
      </c>
      <c r="K34" s="984" t="s">
        <v>55</v>
      </c>
      <c r="L34" s="984" t="s">
        <v>273</v>
      </c>
      <c r="M34" s="8"/>
    </row>
    <row r="35" spans="1:13" x14ac:dyDescent="0.2">
      <c r="A35" s="233"/>
      <c r="B35" s="1000">
        <f>B2_Kalkulation!L37</f>
        <v>0</v>
      </c>
      <c r="C35" s="1000">
        <f>B2_Kalkulation!L38</f>
        <v>0</v>
      </c>
      <c r="D35" s="1000">
        <f>B2_Kalkulation!L39</f>
        <v>0</v>
      </c>
      <c r="E35" s="1000">
        <f>B2_Kalkulation!L40</f>
        <v>0</v>
      </c>
      <c r="F35" s="1000">
        <f>B2_Kalkulation!L41</f>
        <v>0</v>
      </c>
      <c r="G35" s="1000">
        <f>B2_Kalkulation!L42</f>
        <v>0</v>
      </c>
      <c r="H35" s="1000">
        <f>B2_Kalkulation!L43</f>
        <v>0</v>
      </c>
      <c r="I35" s="1000">
        <f>B2_Kalkulation!L44</f>
        <v>0</v>
      </c>
      <c r="J35" s="1000">
        <f>B2_Kalkulation!L45</f>
        <v>0</v>
      </c>
      <c r="K35" s="1000">
        <f>B2_Kalkulation!L46</f>
        <v>0</v>
      </c>
      <c r="L35" s="1000">
        <f>B2_Kalkulation!L47</f>
        <v>0</v>
      </c>
      <c r="M35" s="8"/>
    </row>
    <row r="36" spans="1:13" x14ac:dyDescent="0.2">
      <c r="A36" s="233"/>
      <c r="B36" s="995" t="s">
        <v>575</v>
      </c>
      <c r="C36" s="1001"/>
      <c r="D36" s="1001"/>
      <c r="E36" s="1001"/>
      <c r="F36" s="1001"/>
      <c r="G36" s="1001"/>
      <c r="H36" s="1001"/>
      <c r="I36" s="1002"/>
      <c r="J36" s="210"/>
      <c r="K36" s="210"/>
      <c r="L36" s="210"/>
      <c r="M36" s="8"/>
    </row>
    <row r="37" spans="1:13" ht="25.5" x14ac:dyDescent="0.2">
      <c r="A37" s="233"/>
      <c r="B37" s="960" t="s">
        <v>32</v>
      </c>
      <c r="C37" s="960" t="s">
        <v>34</v>
      </c>
      <c r="D37" s="984" t="s">
        <v>576</v>
      </c>
      <c r="E37" s="960" t="s">
        <v>35</v>
      </c>
      <c r="F37" s="960" t="s">
        <v>36</v>
      </c>
      <c r="G37" s="960" t="s">
        <v>33</v>
      </c>
      <c r="H37" s="960" t="s">
        <v>285</v>
      </c>
      <c r="I37" s="960" t="s">
        <v>273</v>
      </c>
      <c r="J37" s="210"/>
      <c r="K37" s="210"/>
      <c r="L37" s="210"/>
      <c r="M37" s="8"/>
    </row>
    <row r="38" spans="1:13" x14ac:dyDescent="0.2">
      <c r="A38" s="233"/>
      <c r="B38" s="1000">
        <f>B2_Kalkulation!L50</f>
        <v>0</v>
      </c>
      <c r="C38" s="1000">
        <f>B2_Kalkulation!L51</f>
        <v>0</v>
      </c>
      <c r="D38" s="1000">
        <f>B2_Kalkulation!L52</f>
        <v>0</v>
      </c>
      <c r="E38" s="1000">
        <f>B2_Kalkulation!L53</f>
        <v>0</v>
      </c>
      <c r="F38" s="1000">
        <f>B2_Kalkulation!L54</f>
        <v>0</v>
      </c>
      <c r="G38" s="1000">
        <f>B2_Kalkulation!L55</f>
        <v>0</v>
      </c>
      <c r="H38" s="1000">
        <f>B2_Kalkulation!L56</f>
        <v>0</v>
      </c>
      <c r="I38" s="1000">
        <f>B2_Kalkulation!L57</f>
        <v>0</v>
      </c>
      <c r="J38" s="210"/>
      <c r="K38" s="210"/>
      <c r="L38" s="210"/>
      <c r="M38" s="8"/>
    </row>
    <row r="39" spans="1:13" x14ac:dyDescent="0.2">
      <c r="A39" s="233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/>
      <c r="M39" s="8"/>
    </row>
    <row r="40" spans="1:13" x14ac:dyDescent="0.2">
      <c r="A40" s="233"/>
      <c r="B40" s="1867" t="s">
        <v>442</v>
      </c>
      <c r="C40" s="1867"/>
      <c r="D40" s="1867"/>
      <c r="E40" s="1867"/>
      <c r="F40" s="1867"/>
      <c r="G40" s="1867"/>
      <c r="H40" s="1003"/>
      <c r="I40" s="1868" t="s">
        <v>443</v>
      </c>
      <c r="J40" s="1869"/>
      <c r="K40" s="1870"/>
      <c r="L40" s="1003"/>
      <c r="M40" s="8"/>
    </row>
    <row r="41" spans="1:13" ht="38.25" x14ac:dyDescent="0.2">
      <c r="A41" s="233"/>
      <c r="B41" s="960" t="s">
        <v>435</v>
      </c>
      <c r="C41" s="961" t="s">
        <v>429</v>
      </c>
      <c r="D41" s="961" t="s">
        <v>430</v>
      </c>
      <c r="E41" s="961" t="s">
        <v>431</v>
      </c>
      <c r="F41" s="961" t="s">
        <v>432</v>
      </c>
      <c r="G41" s="961" t="s">
        <v>433</v>
      </c>
      <c r="H41" s="960" t="s">
        <v>444</v>
      </c>
      <c r="I41" s="960" t="s">
        <v>294</v>
      </c>
      <c r="J41" s="960" t="s">
        <v>445</v>
      </c>
      <c r="K41" s="960" t="s">
        <v>295</v>
      </c>
      <c r="L41" s="1416" t="str">
        <f>IF(KAT!P103=1,"Fahrtkosten - Beförderung intern","Fahrtkosten - Beförderung extern")</f>
        <v>Fahrtkosten - Beförderung extern</v>
      </c>
      <c r="M41" s="1004"/>
    </row>
    <row r="42" spans="1:13" x14ac:dyDescent="0.2">
      <c r="A42" s="233"/>
      <c r="B42" s="1405" t="s">
        <v>1318</v>
      </c>
      <c r="C42" s="1005">
        <f>B2_Kalkulation!B61</f>
        <v>0</v>
      </c>
      <c r="D42" s="1005">
        <f>B2_Kalkulation!C61</f>
        <v>0</v>
      </c>
      <c r="E42" s="1005">
        <f>B2_Kalkulation!D61</f>
        <v>0</v>
      </c>
      <c r="F42" s="1005">
        <f>B2_Kalkulation!E61</f>
        <v>0</v>
      </c>
      <c r="G42" s="1005">
        <f>B2_Kalkulation!F61</f>
        <v>0</v>
      </c>
      <c r="H42" s="1005" t="str">
        <f>B2_Kalkulation!H61</f>
        <v/>
      </c>
      <c r="I42" s="1005">
        <f>B2_Kalkulation!I61</f>
        <v>0</v>
      </c>
      <c r="J42" s="1005">
        <f>B2_Kalkulation!J61</f>
        <v>0</v>
      </c>
      <c r="K42" s="1005">
        <f>B2_Kalkulation!K61</f>
        <v>0</v>
      </c>
      <c r="L42" s="1005" t="str">
        <f>B2_Kalkulation!L61</f>
        <v/>
      </c>
      <c r="M42" s="1004"/>
    </row>
    <row r="43" spans="1:13" x14ac:dyDescent="0.2">
      <c r="A43" s="233"/>
      <c r="B43" s="1414" t="s">
        <v>1330</v>
      </c>
      <c r="C43" s="1414">
        <f>B2_Kalkulation!B63</f>
        <v>0</v>
      </c>
      <c r="D43" s="1414">
        <f>B2_Kalkulation!C63</f>
        <v>0</v>
      </c>
      <c r="E43" s="1414">
        <f>B2_Kalkulation!D63</f>
        <v>0</v>
      </c>
      <c r="F43" s="1414">
        <f>B2_Kalkulation!E63</f>
        <v>0</v>
      </c>
      <c r="G43" s="1414">
        <f>B2_Kalkulation!F63</f>
        <v>0</v>
      </c>
      <c r="H43" s="1414" t="str">
        <f>B2_Kalkulation!H63</f>
        <v/>
      </c>
      <c r="I43" s="1414" t="str">
        <f>B2_Kalkulation!I63</f>
        <v/>
      </c>
      <c r="J43" s="1414">
        <f>B2_Kalkulation!J63</f>
        <v>0</v>
      </c>
      <c r="K43" s="1414">
        <f>B2_Kalkulation!K63</f>
        <v>0</v>
      </c>
      <c r="L43" s="1414"/>
      <c r="M43" s="1004"/>
    </row>
    <row r="44" spans="1:13" x14ac:dyDescent="0.2">
      <c r="A44" s="976"/>
      <c r="B44" s="965" t="s">
        <v>831</v>
      </c>
      <c r="C44" s="1006">
        <f>B2_Kalkulation!B67</f>
        <v>0</v>
      </c>
      <c r="D44" s="1006" t="str">
        <f>B2_Kalkulation!C67</f>
        <v/>
      </c>
      <c r="E44" s="1006" t="str">
        <f>B2_Kalkulation!D67</f>
        <v/>
      </c>
      <c r="F44" s="1006" t="str">
        <f>B2_Kalkulation!E67</f>
        <v/>
      </c>
      <c r="G44" s="1006" t="str">
        <f>B2_Kalkulation!F67</f>
        <v/>
      </c>
      <c r="H44" s="1003"/>
      <c r="I44" s="1007" t="str">
        <f>B2_Kalkulation!I67</f>
        <v/>
      </c>
      <c r="J44" s="1007" t="str">
        <f>B2_Kalkulation!J67</f>
        <v/>
      </c>
      <c r="K44" s="1007" t="str">
        <f>B2_Kalkulation!K67</f>
        <v/>
      </c>
      <c r="L44" s="1008"/>
      <c r="M44" s="8"/>
    </row>
    <row r="45" spans="1:13" x14ac:dyDescent="0.2">
      <c r="A45" s="233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8"/>
    </row>
    <row r="46" spans="1:13" x14ac:dyDescent="0.2">
      <c r="A46" s="233"/>
      <c r="B46" s="1861" t="s">
        <v>446</v>
      </c>
      <c r="C46" s="1862"/>
      <c r="D46" s="1862"/>
      <c r="E46" s="1862"/>
      <c r="F46" s="1862"/>
      <c r="G46" s="1862"/>
      <c r="H46" s="1862"/>
      <c r="I46" s="1862"/>
      <c r="J46" s="1862"/>
      <c r="K46" s="1862"/>
      <c r="L46" s="1009"/>
      <c r="M46" s="8"/>
    </row>
    <row r="47" spans="1:13" x14ac:dyDescent="0.2">
      <c r="A47" s="233"/>
      <c r="B47" s="1862"/>
      <c r="C47" s="1862"/>
      <c r="D47" s="1862"/>
      <c r="E47" s="1862"/>
      <c r="F47" s="1862"/>
      <c r="G47" s="1862"/>
      <c r="H47" s="1862"/>
      <c r="I47" s="1862"/>
      <c r="J47" s="1862"/>
      <c r="K47" s="1862"/>
      <c r="L47" s="1009"/>
      <c r="M47" s="8"/>
    </row>
    <row r="48" spans="1:13" x14ac:dyDescent="0.2">
      <c r="A48" s="233"/>
      <c r="B48" s="1010"/>
      <c r="C48" s="1011"/>
      <c r="D48" s="1011"/>
      <c r="E48" s="1011"/>
      <c r="F48" s="1011"/>
      <c r="G48" s="1011"/>
      <c r="H48" s="1011"/>
      <c r="I48" s="1011"/>
      <c r="J48" s="1011"/>
      <c r="K48" s="1011"/>
      <c r="L48" s="1011"/>
      <c r="M48" s="8"/>
    </row>
    <row r="49" spans="1:13" x14ac:dyDescent="0.2">
      <c r="A49" s="233"/>
      <c r="B49" s="1012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8"/>
    </row>
    <row r="50" spans="1:13" x14ac:dyDescent="0.2">
      <c r="A50" s="233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8"/>
    </row>
    <row r="51" spans="1:13" x14ac:dyDescent="0.2">
      <c r="A51" s="233"/>
      <c r="B51" s="231"/>
      <c r="C51" s="231"/>
      <c r="D51" s="210"/>
      <c r="E51" s="210"/>
      <c r="F51" s="210"/>
      <c r="G51" s="210"/>
      <c r="H51" s="606"/>
      <c r="I51" s="210"/>
      <c r="J51" s="210"/>
      <c r="K51" s="210"/>
      <c r="L51" s="210"/>
      <c r="M51" s="8"/>
    </row>
    <row r="52" spans="1:13" x14ac:dyDescent="0.2">
      <c r="A52" s="233"/>
      <c r="B52" s="1013" t="s">
        <v>583</v>
      </c>
      <c r="C52" s="210"/>
      <c r="D52" s="210"/>
      <c r="E52" s="210"/>
      <c r="F52" s="210"/>
      <c r="G52" s="210"/>
      <c r="H52" s="1013"/>
      <c r="I52" s="210"/>
      <c r="J52" s="210"/>
      <c r="K52" s="210"/>
      <c r="L52" s="210"/>
      <c r="M52" s="8"/>
    </row>
    <row r="53" spans="1:13" ht="15" x14ac:dyDescent="0.25">
      <c r="A53" s="617"/>
      <c r="B53" s="1014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1015"/>
    </row>
    <row r="54" spans="1:13" ht="15" x14ac:dyDescent="0.25">
      <c r="A54" s="470"/>
      <c r="B54" s="471"/>
      <c r="C54" s="470"/>
      <c r="D54" s="470"/>
      <c r="E54" s="470"/>
      <c r="F54" s="470"/>
      <c r="G54" s="470"/>
      <c r="H54" s="470"/>
      <c r="I54" s="470"/>
      <c r="J54" s="470"/>
      <c r="K54" s="470"/>
      <c r="L54" s="470"/>
    </row>
  </sheetData>
  <sheetProtection algorithmName="SHA-512" hashValue="EHs865q0rE3uIoL7GoGqBHGXloN0KdKVYADpRoiLEM+wIZXaV93SUulUCHL9U7FGoUVIW4VBpTHlOWe8NF7Aiw==" saltValue="qLCKCoByGY3mg17+tW26rA==" spinCount="100000" sheet="1" objects="1" scenarios="1"/>
  <mergeCells count="17">
    <mergeCell ref="A1:L1"/>
    <mergeCell ref="A2:L2"/>
    <mergeCell ref="B10:D10"/>
    <mergeCell ref="B5:D5"/>
    <mergeCell ref="B6:D6"/>
    <mergeCell ref="B7:D7"/>
    <mergeCell ref="B8:D8"/>
    <mergeCell ref="B46:K47"/>
    <mergeCell ref="B11:D11"/>
    <mergeCell ref="B12:D12"/>
    <mergeCell ref="B13:D13"/>
    <mergeCell ref="B15:D15"/>
    <mergeCell ref="B21:H21"/>
    <mergeCell ref="B40:G40"/>
    <mergeCell ref="I40:K40"/>
    <mergeCell ref="K24:L25"/>
    <mergeCell ref="I21:L21"/>
  </mergeCells>
  <conditionalFormatting sqref="C3">
    <cfRule type="cellIs" dxfId="10" priority="10" operator="equal">
      <formula>0</formula>
    </cfRule>
  </conditionalFormatting>
  <conditionalFormatting sqref="F3">
    <cfRule type="cellIs" dxfId="7" priority="9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7" orientation="landscape"/>
  <headerFooter>
    <oddFooter>&amp;LVersion: 21.11.2024&amp;CVerhandlungsunterlagen SGB XI (vereinfacht B2)&amp;RPSK-Beschluss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3081687-7103-4799-9A85-FEA29E82BADB}">
            <xm:f>KAT!$A$177="nein"</xm:f>
            <x14:dxf>
              <fill>
                <patternFill>
                  <bgColor theme="0"/>
                </patternFill>
              </fill>
            </x14:dxf>
          </x14:cfRule>
          <xm:sqref>A19 A24 A28 M41:M43 A44</xm:sqref>
        </x14:conditionalFormatting>
        <x14:conditionalFormatting xmlns:xm="http://schemas.microsoft.com/office/excel/2006/main">
          <x14:cfRule type="expression" priority="20" id="{F8AB22F0-040F-4DAB-92E5-F9E0CE42AE75}">
            <xm:f>'B2_Allgemeine Angaben'!$L$48=0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B19:G19</xm:sqref>
        </x14:conditionalFormatting>
        <x14:conditionalFormatting xmlns:xm="http://schemas.microsoft.com/office/excel/2006/main">
          <x14:cfRule type="expression" priority="7" id="{098663C0-F0DF-4654-9B1B-8E73D34AFD1B}">
            <xm:f>'B2_Allgemeine Angaben'!$L$48=0</xm:f>
            <x14:dxf>
              <font>
                <color theme="0"/>
              </font>
              <border>
                <left/>
                <right/>
                <top style="thin">
                  <color auto="1"/>
                </top>
                <bottom/>
                <vertical/>
                <horizontal/>
              </border>
            </x14:dxf>
          </x14:cfRule>
          <xm:sqref>B24:G24</xm:sqref>
        </x14:conditionalFormatting>
        <x14:conditionalFormatting xmlns:xm="http://schemas.microsoft.com/office/excel/2006/main">
          <x14:cfRule type="expression" priority="17" id="{30B3A600-5B6D-43A4-88E6-92F25B8C4B5D}">
            <xm:f>'B2_Allgemeine Angaben'!$L$48=0</xm:f>
            <x14:dxf>
              <font>
                <color theme="0"/>
              </font>
              <fill>
                <patternFill>
                  <fgColor theme="0"/>
                </patternFill>
              </fill>
              <border>
                <left/>
                <right/>
                <bottom/>
              </border>
            </x14:dxf>
          </x14:cfRule>
          <xm:sqref>B28:H28</xm:sqref>
        </x14:conditionalFormatting>
        <x14:conditionalFormatting xmlns:xm="http://schemas.microsoft.com/office/excel/2006/main">
          <x14:cfRule type="expression" priority="1" id="{962A5688-31E3-4EAB-A24F-544A84017FD7}">
            <xm:f>'B2_Allgemeine Angaben'!$D$7&lt;&gt;0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B43:L43</xm:sqref>
        </x14:conditionalFormatting>
        <x14:conditionalFormatting xmlns:xm="http://schemas.microsoft.com/office/excel/2006/main">
          <x14:cfRule type="expression" priority="16" id="{6A5CB0D1-092F-4D86-B511-FE7F1A824D28}">
            <xm:f>'B2_Allgemeine Angaben'!$L$48=0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B44:L44</xm:sqref>
        </x14:conditionalFormatting>
        <x14:conditionalFormatting xmlns:xm="http://schemas.microsoft.com/office/excel/2006/main">
          <x14:cfRule type="expression" priority="13" id="{3986216B-3065-467F-9DFD-046D4770F17F}">
            <xm:f>'B2_Allgemeine Angaben'!#REF!&lt;&gt;"vst"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11" id="{3AF47DFD-0F7F-4847-85F8-8FF2A9E04EFC}">
            <xm:f>'B2_Allgemeine Angaben'!$D$7&lt;&gt;"vst"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</x14:dxf>
          </x14:cfRule>
          <xm:sqref>D37:D38</xm:sqref>
        </x14:conditionalFormatting>
        <x14:conditionalFormatting xmlns:xm="http://schemas.microsoft.com/office/excel/2006/main">
          <x14:cfRule type="expression" priority="19" id="{D740E9FD-6F3E-48C6-9425-736166E04299}">
            <xm:f>'B2_Allgemeine Angaben'!$L$48=0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vertical/>
                <horizontal/>
              </border>
            </x14:dxf>
          </x14:cfRule>
          <xm:sqref>F9:I9</xm:sqref>
        </x14:conditionalFormatting>
        <x14:conditionalFormatting xmlns:xm="http://schemas.microsoft.com/office/excel/2006/main">
          <x14:cfRule type="expression" priority="6" id="{91611BC6-DCA8-433C-8F87-E1DCDAB771D0}">
            <xm:f>'B2_Allgemeine Angaben'!$L$48=0</xm:f>
            <x14:dxf>
              <font>
                <color theme="0"/>
              </font>
              <border>
                <left/>
                <top style="thin">
                  <color auto="1"/>
                </top>
                <bottom/>
                <vertical/>
                <horizontal/>
              </border>
            </x14:dxf>
          </x14:cfRule>
          <xm:sqref>H24</xm:sqref>
        </x14:conditionalFormatting>
        <x14:conditionalFormatting xmlns:xm="http://schemas.microsoft.com/office/excel/2006/main">
          <x14:cfRule type="expression" priority="14" id="{D16EC9A9-CB54-4E45-BF71-36557A2E8314}">
            <xm:f>'B2_Allgemeine Angaben'!$D$7=0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H42</xm:sqref>
        </x14:conditionalFormatting>
        <x14:conditionalFormatting xmlns:xm="http://schemas.microsoft.com/office/excel/2006/main">
          <x14:cfRule type="expression" priority="3" id="{5502C480-7662-4063-8477-0C89CEB5B3D0}">
            <xm:f>'B2_Allgemeine Angaben'!$D$7&lt;&gt;"vst"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I22:I23</xm:sqref>
        </x14:conditionalFormatting>
        <x14:conditionalFormatting xmlns:xm="http://schemas.microsoft.com/office/excel/2006/main">
          <x14:cfRule type="expression" priority="4" id="{0111F123-9514-4C5D-B778-B1BCDA5801DE}">
            <xm:f>'B2_Allgemeine Angaben'!$D$7&lt;&gt;"vst"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I25</xm:sqref>
        </x14:conditionalFormatting>
        <x14:conditionalFormatting xmlns:xm="http://schemas.microsoft.com/office/excel/2006/main">
          <x14:cfRule type="expression" priority="5" id="{4C58A1B2-8A6B-4195-9ED1-DCC94B95A59F}">
            <xm:f>'B2_Allgemeine Angaben'!$D$7&lt;&gt;"vst"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</border>
            </x14:dxf>
          </x14:cfRule>
          <xm:sqref>I21:L25</xm:sqref>
        </x14:conditionalFormatting>
        <x14:conditionalFormatting xmlns:xm="http://schemas.microsoft.com/office/excel/2006/main">
          <x14:cfRule type="expression" priority="15" id="{BF5B0D9E-D946-454A-85F2-A488AFF6F0B6}">
            <xm:f>'B2_Allgemeine Angaben'!$D$7&lt;&gt;"tst"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right/>
                <top/>
                <bottom/>
                <vertical/>
                <horizontal/>
              </border>
            </x14:dxf>
          </x14:cfRule>
          <xm:sqref>L40:L42 L44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61"/>
  <sheetViews>
    <sheetView zoomScaleNormal="100" workbookViewId="0">
      <selection sqref="A1:I4"/>
    </sheetView>
  </sheetViews>
  <sheetFormatPr baseColWidth="10" defaultColWidth="10" defaultRowHeight="14.25" x14ac:dyDescent="0.2"/>
  <cols>
    <col min="1" max="3" width="10" style="605"/>
    <col min="4" max="4" width="10.375" style="605" customWidth="1"/>
    <col min="5" max="5" width="2.875" style="605" customWidth="1"/>
    <col min="6" max="6" width="2" style="605" customWidth="1"/>
    <col min="7" max="7" width="10.625" style="605" customWidth="1"/>
    <col min="8" max="8" width="10" style="605"/>
    <col min="9" max="9" width="11.5" style="605" customWidth="1"/>
    <col min="10" max="14" width="10" style="605" customWidth="1"/>
    <col min="15" max="16384" width="10" style="605"/>
  </cols>
  <sheetData>
    <row r="1" spans="1:19" x14ac:dyDescent="0.2">
      <c r="A1" s="1883" t="s">
        <v>169</v>
      </c>
      <c r="B1" s="1884"/>
      <c r="C1" s="1884"/>
      <c r="D1" s="1884"/>
      <c r="E1" s="1884"/>
      <c r="F1" s="1884"/>
      <c r="G1" s="1884"/>
      <c r="H1" s="1884"/>
      <c r="I1" s="1885"/>
      <c r="J1" s="604"/>
    </row>
    <row r="2" spans="1:19" x14ac:dyDescent="0.2">
      <c r="A2" s="1886"/>
      <c r="B2" s="1887"/>
      <c r="C2" s="1887"/>
      <c r="D2" s="1887"/>
      <c r="E2" s="1887"/>
      <c r="F2" s="1887"/>
      <c r="G2" s="1887"/>
      <c r="H2" s="1887"/>
      <c r="I2" s="1888"/>
      <c r="J2" s="606"/>
    </row>
    <row r="3" spans="1:19" x14ac:dyDescent="0.2">
      <c r="A3" s="1886"/>
      <c r="B3" s="1887"/>
      <c r="C3" s="1887"/>
      <c r="D3" s="1887"/>
      <c r="E3" s="1887"/>
      <c r="F3" s="1887"/>
      <c r="G3" s="1887"/>
      <c r="H3" s="1887"/>
      <c r="I3" s="1888"/>
      <c r="J3" s="607"/>
    </row>
    <row r="4" spans="1:19" x14ac:dyDescent="0.2">
      <c r="A4" s="1889"/>
      <c r="B4" s="1890"/>
      <c r="C4" s="1890"/>
      <c r="D4" s="1890"/>
      <c r="E4" s="1890"/>
      <c r="F4" s="1890"/>
      <c r="G4" s="1890"/>
      <c r="H4" s="1890"/>
      <c r="I4" s="1891"/>
    </row>
    <row r="5" spans="1:19" x14ac:dyDescent="0.2">
      <c r="A5" s="608" t="s">
        <v>170</v>
      </c>
      <c r="I5" s="609"/>
      <c r="J5" s="608"/>
    </row>
    <row r="6" spans="1:19" x14ac:dyDescent="0.2">
      <c r="A6" s="233" t="s">
        <v>843</v>
      </c>
      <c r="I6" s="609"/>
      <c r="J6" s="608"/>
      <c r="K6" s="610"/>
      <c r="L6" s="610"/>
      <c r="M6" s="610"/>
      <c r="N6" s="610"/>
      <c r="O6" s="610"/>
      <c r="P6" s="610"/>
      <c r="Q6" s="610"/>
      <c r="R6" s="610"/>
      <c r="S6" s="610"/>
    </row>
    <row r="7" spans="1:19" x14ac:dyDescent="0.2">
      <c r="A7" s="233" t="s">
        <v>844</v>
      </c>
      <c r="E7" s="57"/>
      <c r="I7" s="609"/>
      <c r="J7" s="608"/>
    </row>
    <row r="8" spans="1:19" x14ac:dyDescent="0.2">
      <c r="A8" s="233" t="s">
        <v>845</v>
      </c>
      <c r="I8" s="609"/>
      <c r="J8" s="608"/>
    </row>
    <row r="9" spans="1:19" x14ac:dyDescent="0.2">
      <c r="A9" s="608" t="s">
        <v>171</v>
      </c>
      <c r="E9" s="611" t="s">
        <v>568</v>
      </c>
      <c r="I9" s="609"/>
      <c r="J9" s="608"/>
    </row>
    <row r="10" spans="1:19" x14ac:dyDescent="0.2">
      <c r="A10" s="608" t="s">
        <v>172</v>
      </c>
      <c r="I10" s="609"/>
      <c r="J10" s="608"/>
    </row>
    <row r="11" spans="1:19" x14ac:dyDescent="0.2">
      <c r="A11" s="608"/>
      <c r="I11" s="609"/>
      <c r="J11" s="608"/>
    </row>
    <row r="12" spans="1:19" x14ac:dyDescent="0.2">
      <c r="A12" s="608" t="s">
        <v>173</v>
      </c>
      <c r="E12" s="57"/>
      <c r="I12" s="609"/>
    </row>
    <row r="13" spans="1:19" x14ac:dyDescent="0.2">
      <c r="A13" s="608" t="s">
        <v>174</v>
      </c>
      <c r="I13" s="609"/>
    </row>
    <row r="14" spans="1:19" x14ac:dyDescent="0.2">
      <c r="A14" s="608" t="s">
        <v>175</v>
      </c>
      <c r="I14" s="609"/>
    </row>
    <row r="15" spans="1:19" x14ac:dyDescent="0.2">
      <c r="A15" s="608"/>
      <c r="I15" s="609"/>
    </row>
    <row r="16" spans="1:19" x14ac:dyDescent="0.2">
      <c r="A16" s="608" t="s">
        <v>176</v>
      </c>
      <c r="E16" s="57"/>
      <c r="I16" s="609"/>
    </row>
    <row r="17" spans="1:10" x14ac:dyDescent="0.2">
      <c r="A17" s="608" t="s">
        <v>177</v>
      </c>
      <c r="I17" s="609"/>
    </row>
    <row r="18" spans="1:10" x14ac:dyDescent="0.2">
      <c r="A18" s="608" t="s">
        <v>178</v>
      </c>
      <c r="I18" s="609"/>
    </row>
    <row r="19" spans="1:10" x14ac:dyDescent="0.2">
      <c r="A19" s="608" t="s">
        <v>179</v>
      </c>
      <c r="I19" s="609"/>
    </row>
    <row r="20" spans="1:10" x14ac:dyDescent="0.2">
      <c r="A20" s="608"/>
      <c r="I20" s="609"/>
    </row>
    <row r="21" spans="1:10" x14ac:dyDescent="0.2">
      <c r="A21" s="608" t="s">
        <v>180</v>
      </c>
      <c r="E21" s="57"/>
      <c r="G21" s="127" t="s">
        <v>248</v>
      </c>
      <c r="I21" s="609"/>
      <c r="J21" s="128"/>
    </row>
    <row r="22" spans="1:10" x14ac:dyDescent="0.2">
      <c r="A22" s="608" t="s">
        <v>246</v>
      </c>
      <c r="I22" s="609"/>
      <c r="J22" s="288"/>
    </row>
    <row r="23" spans="1:10" x14ac:dyDescent="0.2">
      <c r="A23" s="233" t="s">
        <v>247</v>
      </c>
      <c r="I23" s="609"/>
      <c r="J23" s="288"/>
    </row>
    <row r="24" spans="1:10" x14ac:dyDescent="0.2">
      <c r="A24" s="608"/>
      <c r="I24" s="609"/>
    </row>
    <row r="25" spans="1:10" x14ac:dyDescent="0.2">
      <c r="A25" s="612" t="s">
        <v>181</v>
      </c>
      <c r="I25" s="609"/>
    </row>
    <row r="26" spans="1:10" x14ac:dyDescent="0.2">
      <c r="A26" s="608"/>
      <c r="I26" s="609"/>
    </row>
    <row r="27" spans="1:10" x14ac:dyDescent="0.2">
      <c r="A27" s="608" t="s">
        <v>182</v>
      </c>
      <c r="E27" s="57"/>
      <c r="I27" s="609"/>
    </row>
    <row r="28" spans="1:10" x14ac:dyDescent="0.2">
      <c r="A28" s="608" t="s">
        <v>183</v>
      </c>
      <c r="I28" s="609"/>
    </row>
    <row r="29" spans="1:10" x14ac:dyDescent="0.2">
      <c r="A29" s="608" t="s">
        <v>184</v>
      </c>
      <c r="I29" s="609"/>
    </row>
    <row r="30" spans="1:10" x14ac:dyDescent="0.2">
      <c r="A30" s="608" t="s">
        <v>185</v>
      </c>
      <c r="I30" s="609"/>
    </row>
    <row r="31" spans="1:10" x14ac:dyDescent="0.2">
      <c r="A31" s="608"/>
      <c r="I31" s="609"/>
    </row>
    <row r="32" spans="1:10" ht="18" x14ac:dyDescent="0.25">
      <c r="A32" s="612" t="s">
        <v>186</v>
      </c>
      <c r="D32" s="613"/>
      <c r="J32" s="1425"/>
    </row>
    <row r="33" spans="1:12" x14ac:dyDescent="0.2">
      <c r="A33" s="608"/>
      <c r="J33" s="608"/>
    </row>
    <row r="34" spans="1:12" x14ac:dyDescent="0.2">
      <c r="A34" s="608" t="s">
        <v>188</v>
      </c>
      <c r="E34" s="57"/>
      <c r="G34" s="1422" t="s">
        <v>1354</v>
      </c>
      <c r="J34" s="608"/>
      <c r="L34" s="210"/>
    </row>
    <row r="35" spans="1:12" x14ac:dyDescent="0.2">
      <c r="A35" s="608" t="s">
        <v>189</v>
      </c>
      <c r="J35" s="608"/>
    </row>
    <row r="36" spans="1:12" x14ac:dyDescent="0.2">
      <c r="A36" s="608" t="s">
        <v>191</v>
      </c>
      <c r="J36" s="608"/>
    </row>
    <row r="37" spans="1:12" x14ac:dyDescent="0.2">
      <c r="A37" s="608"/>
      <c r="J37" s="608"/>
    </row>
    <row r="38" spans="1:12" x14ac:dyDescent="0.2">
      <c r="A38" s="608" t="s">
        <v>1355</v>
      </c>
      <c r="E38" s="62"/>
      <c r="G38" s="1422" t="s">
        <v>1359</v>
      </c>
      <c r="J38" s="608"/>
    </row>
    <row r="39" spans="1:12" x14ac:dyDescent="0.2">
      <c r="A39" s="608" t="s">
        <v>1356</v>
      </c>
      <c r="G39" s="1422" t="s">
        <v>1360</v>
      </c>
      <c r="J39" s="608"/>
    </row>
    <row r="40" spans="1:12" x14ac:dyDescent="0.2">
      <c r="A40" s="608" t="s">
        <v>1357</v>
      </c>
      <c r="G40" s="1422" t="s">
        <v>1361</v>
      </c>
      <c r="J40" s="608"/>
    </row>
    <row r="41" spans="1:12" x14ac:dyDescent="0.2">
      <c r="A41" s="608" t="s">
        <v>1358</v>
      </c>
      <c r="J41" s="608"/>
    </row>
    <row r="42" spans="1:12" x14ac:dyDescent="0.2">
      <c r="A42" s="608"/>
      <c r="J42" s="608"/>
    </row>
    <row r="43" spans="1:12" x14ac:dyDescent="0.2">
      <c r="A43" s="614" t="s">
        <v>187</v>
      </c>
      <c r="B43" s="615"/>
      <c r="C43" s="616"/>
      <c r="J43" s="608"/>
    </row>
    <row r="44" spans="1:12" x14ac:dyDescent="0.2">
      <c r="A44" s="1423" t="s">
        <v>190</v>
      </c>
      <c r="C44" s="609"/>
      <c r="J44" s="608"/>
    </row>
    <row r="45" spans="1:12" x14ac:dyDescent="0.2">
      <c r="A45" s="1423" t="s">
        <v>196</v>
      </c>
      <c r="C45" s="609"/>
      <c r="J45" s="608"/>
    </row>
    <row r="46" spans="1:12" x14ac:dyDescent="0.2">
      <c r="A46" s="1423" t="s">
        <v>192</v>
      </c>
      <c r="C46" s="609"/>
      <c r="J46" s="608"/>
    </row>
    <row r="47" spans="1:12" x14ac:dyDescent="0.2">
      <c r="A47" s="1423" t="s">
        <v>193</v>
      </c>
      <c r="C47" s="609"/>
      <c r="J47" s="608"/>
    </row>
    <row r="48" spans="1:12" x14ac:dyDescent="0.2">
      <c r="A48" s="1423" t="s">
        <v>197</v>
      </c>
      <c r="C48" s="609"/>
      <c r="I48" s="609"/>
    </row>
    <row r="49" spans="1:9" x14ac:dyDescent="0.2">
      <c r="A49" s="1424" t="s">
        <v>198</v>
      </c>
      <c r="B49" s="618"/>
      <c r="C49" s="619"/>
      <c r="G49" s="604"/>
      <c r="H49" s="604"/>
      <c r="I49" s="620"/>
    </row>
    <row r="50" spans="1:9" x14ac:dyDescent="0.2">
      <c r="A50" s="233"/>
      <c r="G50" s="604"/>
      <c r="H50" s="604"/>
      <c r="I50" s="620"/>
    </row>
    <row r="51" spans="1:9" x14ac:dyDescent="0.2">
      <c r="A51" s="1892" t="s">
        <v>194</v>
      </c>
      <c r="B51" s="1830"/>
      <c r="C51" s="1830"/>
      <c r="E51" s="62"/>
      <c r="I51" s="609"/>
    </row>
    <row r="52" spans="1:9" x14ac:dyDescent="0.2">
      <c r="A52" s="608" t="s">
        <v>195</v>
      </c>
      <c r="I52" s="609"/>
    </row>
    <row r="53" spans="1:9" x14ac:dyDescent="0.2">
      <c r="A53" s="233" t="s">
        <v>584</v>
      </c>
      <c r="I53" s="609"/>
    </row>
    <row r="54" spans="1:9" x14ac:dyDescent="0.2">
      <c r="A54" s="233" t="s">
        <v>585</v>
      </c>
      <c r="I54" s="609"/>
    </row>
    <row r="55" spans="1:9" x14ac:dyDescent="0.2">
      <c r="A55" s="608"/>
      <c r="D55" s="58"/>
      <c r="E55" s="58"/>
      <c r="F55" s="58"/>
      <c r="G55" s="58"/>
      <c r="I55" s="609"/>
    </row>
    <row r="56" spans="1:9" ht="15" x14ac:dyDescent="0.25">
      <c r="A56" s="621"/>
      <c r="D56" s="58"/>
      <c r="E56" s="58"/>
      <c r="F56" s="58"/>
      <c r="G56" s="58"/>
      <c r="I56" s="609"/>
    </row>
    <row r="57" spans="1:9" ht="59.25" hidden="1" x14ac:dyDescent="0.75">
      <c r="A57" s="608"/>
      <c r="D57" s="58"/>
      <c r="E57" s="58"/>
      <c r="F57" s="58"/>
      <c r="G57" s="58"/>
      <c r="I57" s="622"/>
    </row>
    <row r="58" spans="1:9" x14ac:dyDescent="0.2">
      <c r="A58" s="612"/>
      <c r="B58" s="604"/>
      <c r="C58" s="604"/>
      <c r="D58" s="59"/>
      <c r="E58" s="60"/>
      <c r="F58" s="58"/>
      <c r="G58" s="61"/>
      <c r="I58" s="609"/>
    </row>
    <row r="59" spans="1:9" x14ac:dyDescent="0.2">
      <c r="A59" s="608"/>
      <c r="D59" s="58"/>
      <c r="E59" s="58"/>
      <c r="F59" s="58"/>
      <c r="G59" s="58"/>
      <c r="I59" s="609"/>
    </row>
    <row r="60" spans="1:9" x14ac:dyDescent="0.2">
      <c r="A60" s="608"/>
      <c r="I60" s="609"/>
    </row>
    <row r="61" spans="1:9" x14ac:dyDescent="0.2">
      <c r="A61" s="623"/>
      <c r="B61" s="618"/>
      <c r="C61" s="618"/>
      <c r="D61" s="618"/>
      <c r="E61" s="618"/>
      <c r="F61" s="618"/>
      <c r="G61" s="618"/>
      <c r="H61" s="618"/>
      <c r="I61" s="619"/>
    </row>
  </sheetData>
  <sheetProtection algorithmName="SHA-512" hashValue="C2wTJmZkE6cfjFWrydiMtpee01B6ePK/3icSzNIweMLO/hy7VZBQFeMUWtxzdM5tWcrmMDrRfOqPfS0gOC2pxw==" saltValue="8XCRxcOz/paBTPd5Y8R3gw==" spinCount="100000" sheet="1" objects="1" scenarios="1"/>
  <mergeCells count="2">
    <mergeCell ref="A1:I4"/>
    <mergeCell ref="A51:C51"/>
  </mergeCells>
  <hyperlinks>
    <hyperlink ref="G21" r:id="rId1" xr:uid="{00000000-0004-0000-0900-000000000000}"/>
    <hyperlink ref="E9" r:id="rId2" xr:uid="{00000000-0004-0000-0900-000001000000}"/>
    <hyperlink ref="G34" r:id="rId3" xr:uid="{C5F09EB8-E9F7-4AE3-A15A-03BB85E519A6}"/>
    <hyperlink ref="G38" r:id="rId4" xr:uid="{A93960B9-E9D2-47FC-B528-19D8C6FF0C52}"/>
    <hyperlink ref="G39" r:id="rId5" xr:uid="{F1930F52-E2CF-4BEB-BC0E-A0FA87B032F8}"/>
    <hyperlink ref="G40" r:id="rId6" xr:uid="{21784FA4-5BB7-42D6-8FF5-CEC888EDEECF}"/>
  </hyperlinks>
  <pageMargins left="0.70866141732283472" right="0.70866141732283472" top="0.78740157480314965" bottom="0.78740157480314965" header="0.31496062992125984" footer="0.31496062992125984"/>
  <pageSetup paperSize="9" scale="88" orientation="portrait"/>
  <headerFooter>
    <oddFooter>&amp;L&amp;8Version: 21.11.2024&amp;C&amp;8Verhandlungsunterlagen SGB XI (vereinfacht B2)&amp;R&amp;8PSK-Beschluss vom 07.11.2024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21C9-E55B-4E15-B56E-0EF53F0C6AF1}">
  <dimension ref="A1:H36"/>
  <sheetViews>
    <sheetView workbookViewId="0">
      <selection activeCell="G25" sqref="G25"/>
    </sheetView>
  </sheetViews>
  <sheetFormatPr baseColWidth="10" defaultRowHeight="14.25" x14ac:dyDescent="0.2"/>
  <sheetData>
    <row r="1" spans="1:8" ht="15" thickBot="1" x14ac:dyDescent="0.25">
      <c r="A1" s="384" t="s">
        <v>463</v>
      </c>
      <c r="B1" s="1893" t="s">
        <v>848</v>
      </c>
      <c r="C1" s="1894"/>
      <c r="D1" s="1895"/>
      <c r="E1" s="384" t="s">
        <v>463</v>
      </c>
      <c r="F1" s="1592" t="s">
        <v>1262</v>
      </c>
      <c r="G1" s="1593"/>
      <c r="H1" s="1594"/>
    </row>
    <row r="2" spans="1:8" ht="15" thickBot="1" x14ac:dyDescent="0.25">
      <c r="A2" s="385" t="s">
        <v>464</v>
      </c>
      <c r="B2" s="386" t="s">
        <v>465</v>
      </c>
      <c r="C2" s="387" t="s">
        <v>466</v>
      </c>
      <c r="D2" s="388" t="s">
        <v>467</v>
      </c>
      <c r="E2" s="385" t="s">
        <v>464</v>
      </c>
      <c r="F2" s="386" t="s">
        <v>465</v>
      </c>
      <c r="G2" s="387" t="s">
        <v>466</v>
      </c>
      <c r="H2" s="388" t="s">
        <v>467</v>
      </c>
    </row>
    <row r="3" spans="1:8" x14ac:dyDescent="0.2">
      <c r="A3" s="476" t="s">
        <v>468</v>
      </c>
      <c r="B3" s="480">
        <f>C3*2</f>
        <v>16.399999999999999</v>
      </c>
      <c r="C3" s="481">
        <v>8.1999999999999993</v>
      </c>
      <c r="D3" s="472">
        <f>B3/2</f>
        <v>8.1999999999999993</v>
      </c>
      <c r="E3" s="476" t="s">
        <v>468</v>
      </c>
      <c r="F3" s="1376">
        <f>16.4+0.8</f>
        <v>17.2</v>
      </c>
      <c r="G3" s="481">
        <f>F3/2</f>
        <v>8.6</v>
      </c>
      <c r="H3" s="472">
        <f>F3/2</f>
        <v>8.6</v>
      </c>
    </row>
    <row r="4" spans="1:8" x14ac:dyDescent="0.2">
      <c r="A4" s="479" t="s">
        <v>469</v>
      </c>
      <c r="B4" s="480">
        <f>C4*2</f>
        <v>18.600000000000001</v>
      </c>
      <c r="C4" s="481">
        <v>9.3000000000000007</v>
      </c>
      <c r="D4" s="494">
        <f>B4/2</f>
        <v>9.3000000000000007</v>
      </c>
      <c r="E4" s="479" t="s">
        <v>469</v>
      </c>
      <c r="F4" s="480">
        <f>G4*2</f>
        <v>18.600000000000001</v>
      </c>
      <c r="G4" s="481">
        <v>9.3000000000000007</v>
      </c>
      <c r="H4" s="494">
        <f>F4/2</f>
        <v>9.3000000000000007</v>
      </c>
    </row>
    <row r="5" spans="1:8" x14ac:dyDescent="0.2">
      <c r="A5" s="479" t="s">
        <v>470</v>
      </c>
      <c r="B5" s="480">
        <f>C5*2</f>
        <v>2.6</v>
      </c>
      <c r="C5" s="481">
        <v>1.3</v>
      </c>
      <c r="D5" s="494">
        <f>B5/2</f>
        <v>1.3</v>
      </c>
      <c r="E5" s="479" t="s">
        <v>470</v>
      </c>
      <c r="F5" s="480">
        <f>G5*2</f>
        <v>2.6</v>
      </c>
      <c r="G5" s="481">
        <v>1.3</v>
      </c>
      <c r="H5" s="494">
        <f>F5/2</f>
        <v>1.3</v>
      </c>
    </row>
    <row r="6" spans="1:8" ht="15" thickBot="1" x14ac:dyDescent="0.25">
      <c r="A6" s="479" t="s">
        <v>471</v>
      </c>
      <c r="B6" s="642">
        <v>3.4</v>
      </c>
      <c r="C6" s="643">
        <v>1.2</v>
      </c>
      <c r="D6" s="644">
        <v>2.2000000000000002</v>
      </c>
      <c r="E6" s="479" t="s">
        <v>471</v>
      </c>
      <c r="F6" s="642">
        <f>3.4+0.2</f>
        <v>3.6</v>
      </c>
      <c r="G6" s="643">
        <f>1.2+0.1</f>
        <v>1.3</v>
      </c>
      <c r="H6" s="644">
        <f>0.1+2.2</f>
        <v>2.3000000000000003</v>
      </c>
    </row>
    <row r="7" spans="1:8" ht="15" thickBot="1" x14ac:dyDescent="0.25">
      <c r="A7" s="483" t="s">
        <v>472</v>
      </c>
      <c r="B7" s="484"/>
      <c r="C7" s="485">
        <f>(C6+C5+C4+C3)</f>
        <v>20</v>
      </c>
      <c r="D7" s="502"/>
      <c r="E7" s="483" t="s">
        <v>472</v>
      </c>
      <c r="F7" s="484"/>
      <c r="G7" s="485">
        <f>(G6+G5+G4+G3)</f>
        <v>20.5</v>
      </c>
      <c r="H7" s="502"/>
    </row>
    <row r="8" spans="1:8" x14ac:dyDescent="0.2">
      <c r="A8" s="486" t="s">
        <v>473</v>
      </c>
      <c r="B8" s="487" t="s">
        <v>474</v>
      </c>
      <c r="C8" s="645">
        <v>0.79</v>
      </c>
      <c r="D8" s="506"/>
      <c r="E8" s="486" t="s">
        <v>473</v>
      </c>
      <c r="F8" s="487" t="s">
        <v>474</v>
      </c>
      <c r="G8" s="645">
        <v>0.64</v>
      </c>
      <c r="H8" s="506"/>
    </row>
    <row r="9" spans="1:8" ht="15" thickBot="1" x14ac:dyDescent="0.25">
      <c r="A9" s="486" t="s">
        <v>475</v>
      </c>
      <c r="B9" s="487" t="s">
        <v>476</v>
      </c>
      <c r="C9" s="489">
        <v>2.15</v>
      </c>
      <c r="D9" s="507"/>
      <c r="E9" s="486" t="s">
        <v>475</v>
      </c>
      <c r="F9" s="487" t="s">
        <v>476</v>
      </c>
      <c r="G9" s="489">
        <v>2.15</v>
      </c>
      <c r="H9" s="507"/>
    </row>
    <row r="10" spans="1:8" ht="15" thickBot="1" x14ac:dyDescent="0.25">
      <c r="A10" s="490" t="s">
        <v>477</v>
      </c>
      <c r="B10" s="491"/>
      <c r="C10" s="492">
        <v>0.06</v>
      </c>
      <c r="D10" s="507"/>
      <c r="E10" s="490" t="s">
        <v>477</v>
      </c>
      <c r="F10" s="491"/>
      <c r="G10" s="492">
        <v>0.06</v>
      </c>
      <c r="H10" s="507"/>
    </row>
    <row r="11" spans="1:8" ht="15" thickBot="1" x14ac:dyDescent="0.25">
      <c r="A11" s="1595" t="s">
        <v>478</v>
      </c>
      <c r="B11" s="1596"/>
      <c r="C11" s="493">
        <f>(C7+C8+C10)</f>
        <v>20.849999999999998</v>
      </c>
      <c r="D11" s="507"/>
      <c r="E11" s="1595" t="s">
        <v>478</v>
      </c>
      <c r="F11" s="1596"/>
      <c r="G11" s="493">
        <f>(G7+G8+G10)</f>
        <v>21.2</v>
      </c>
      <c r="H11" s="507"/>
    </row>
    <row r="12" spans="1:8" ht="15" thickBot="1" x14ac:dyDescent="0.25">
      <c r="A12" s="1595" t="s">
        <v>479</v>
      </c>
      <c r="B12" s="1596"/>
      <c r="C12" s="493">
        <f>C11+C9</f>
        <v>22.999999999999996</v>
      </c>
      <c r="D12" s="511"/>
      <c r="E12" s="1595" t="s">
        <v>479</v>
      </c>
      <c r="F12" s="1596"/>
      <c r="G12" s="493">
        <f>G11+G9</f>
        <v>23.349999999999998</v>
      </c>
      <c r="H12" s="511"/>
    </row>
    <row r="14" spans="1:8" x14ac:dyDescent="0.2">
      <c r="A14" s="134" t="s">
        <v>857</v>
      </c>
      <c r="B14" s="134"/>
    </row>
    <row r="15" spans="1:8" x14ac:dyDescent="0.2">
      <c r="A15" s="134">
        <v>12.41</v>
      </c>
      <c r="B15" s="1377">
        <v>45292</v>
      </c>
    </row>
    <row r="16" spans="1:8" x14ac:dyDescent="0.2">
      <c r="A16" s="134">
        <v>12.82</v>
      </c>
      <c r="B16" s="1377">
        <v>45658</v>
      </c>
    </row>
    <row r="19" spans="1:7" x14ac:dyDescent="0.2">
      <c r="A19" s="1588" t="s">
        <v>491</v>
      </c>
      <c r="B19" s="1588"/>
      <c r="C19" s="1588"/>
      <c r="D19" s="1588"/>
      <c r="E19" t="s">
        <v>1271</v>
      </c>
    </row>
    <row r="20" spans="1:7" x14ac:dyDescent="0.2">
      <c r="A20" s="1582" t="s">
        <v>492</v>
      </c>
      <c r="B20" s="1582"/>
      <c r="C20" s="527" t="s">
        <v>496</v>
      </c>
      <c r="D20" s="525">
        <v>0.05</v>
      </c>
      <c r="E20" s="525">
        <f>D20</f>
        <v>0.05</v>
      </c>
    </row>
    <row r="21" spans="1:7" x14ac:dyDescent="0.2">
      <c r="A21" s="1582" t="s">
        <v>62</v>
      </c>
      <c r="B21" s="1582"/>
      <c r="C21" s="528" t="s">
        <v>496</v>
      </c>
      <c r="D21" s="525">
        <v>0.05</v>
      </c>
      <c r="E21" s="525">
        <f t="shared" ref="E21:E24" si="0">D21</f>
        <v>0.05</v>
      </c>
    </row>
    <row r="22" spans="1:7" x14ac:dyDescent="0.2">
      <c r="A22" s="1582" t="s">
        <v>32</v>
      </c>
      <c r="B22" s="1582"/>
      <c r="C22" s="528" t="s">
        <v>496</v>
      </c>
      <c r="D22" s="525">
        <v>0.05</v>
      </c>
      <c r="E22" s="525">
        <f t="shared" si="0"/>
        <v>0.05</v>
      </c>
    </row>
    <row r="23" spans="1:7" x14ac:dyDescent="0.2">
      <c r="A23" s="1582" t="s">
        <v>33</v>
      </c>
      <c r="B23" s="1582"/>
      <c r="C23" s="528" t="s">
        <v>496</v>
      </c>
      <c r="D23" s="525">
        <v>0.05</v>
      </c>
      <c r="E23" s="525">
        <f t="shared" si="0"/>
        <v>0.05</v>
      </c>
    </row>
    <row r="24" spans="1:7" x14ac:dyDescent="0.2">
      <c r="A24" s="1582" t="s">
        <v>493</v>
      </c>
      <c r="B24" s="1582"/>
      <c r="C24" s="528" t="s">
        <v>496</v>
      </c>
      <c r="D24" s="526">
        <v>0.05</v>
      </c>
      <c r="E24" s="526">
        <f t="shared" si="0"/>
        <v>0.05</v>
      </c>
    </row>
    <row r="25" spans="1:7" x14ac:dyDescent="0.2">
      <c r="A25" s="1583" t="s">
        <v>1272</v>
      </c>
      <c r="B25" s="1583"/>
      <c r="C25" s="624" t="s">
        <v>496</v>
      </c>
      <c r="D25" s="1896">
        <v>17.899999999999999</v>
      </c>
      <c r="E25" s="1382">
        <v>18.5</v>
      </c>
    </row>
    <row r="26" spans="1:7" x14ac:dyDescent="0.2">
      <c r="A26" s="1583" t="s">
        <v>1273</v>
      </c>
      <c r="B26" s="1583"/>
      <c r="C26" s="528" t="s">
        <v>496</v>
      </c>
      <c r="D26" s="1897"/>
      <c r="E26" s="1382">
        <v>21</v>
      </c>
    </row>
    <row r="27" spans="1:7" x14ac:dyDescent="0.2">
      <c r="A27" s="1583" t="s">
        <v>494</v>
      </c>
      <c r="B27" s="1583"/>
      <c r="C27" s="528" t="s">
        <v>496</v>
      </c>
      <c r="D27" s="526">
        <v>7.4999999999999997E-2</v>
      </c>
      <c r="E27" s="1381">
        <v>3.5000000000000003E-2</v>
      </c>
    </row>
    <row r="28" spans="1:7" x14ac:dyDescent="0.2">
      <c r="A28" s="1379" t="s">
        <v>495</v>
      </c>
      <c r="B28" s="1380"/>
      <c r="C28" s="528" t="s">
        <v>496</v>
      </c>
      <c r="D28" s="525">
        <v>9.0999999999999998E-2</v>
      </c>
      <c r="E28" s="1381">
        <v>0.05</v>
      </c>
    </row>
    <row r="30" spans="1:7" x14ac:dyDescent="0.2">
      <c r="A30" s="1600" t="s">
        <v>1380</v>
      </c>
      <c r="B30" s="1601"/>
      <c r="C30" s="1602"/>
      <c r="E30" s="1600" t="s">
        <v>1381</v>
      </c>
      <c r="F30" s="1601"/>
      <c r="G30" s="1602"/>
    </row>
    <row r="31" spans="1:7" x14ac:dyDescent="0.2">
      <c r="A31" s="134" t="s">
        <v>515</v>
      </c>
      <c r="B31" s="134" t="s">
        <v>510</v>
      </c>
      <c r="C31" s="134" t="s">
        <v>511</v>
      </c>
      <c r="E31" s="134" t="s">
        <v>515</v>
      </c>
      <c r="F31" s="134" t="s">
        <v>510</v>
      </c>
      <c r="G31" s="134" t="s">
        <v>511</v>
      </c>
    </row>
    <row r="32" spans="1:7" x14ac:dyDescent="0.2">
      <c r="A32" s="134" t="s">
        <v>551</v>
      </c>
      <c r="B32" s="569">
        <v>0.02</v>
      </c>
      <c r="C32" s="569">
        <v>0.02</v>
      </c>
      <c r="E32" s="134" t="s">
        <v>551</v>
      </c>
      <c r="F32" s="569">
        <v>0.02</v>
      </c>
      <c r="G32" s="569">
        <v>0.02</v>
      </c>
    </row>
    <row r="33" spans="1:7" x14ac:dyDescent="0.2">
      <c r="A33" s="134" t="s">
        <v>512</v>
      </c>
      <c r="B33" s="1430">
        <v>5.1499999999999997E-2</v>
      </c>
      <c r="C33" s="569">
        <v>0.03</v>
      </c>
      <c r="E33" s="134" t="s">
        <v>512</v>
      </c>
      <c r="F33" s="1431">
        <v>0.05</v>
      </c>
      <c r="G33" s="569">
        <v>0.03</v>
      </c>
    </row>
    <row r="34" spans="1:7" x14ac:dyDescent="0.2">
      <c r="A34" s="134" t="s">
        <v>513</v>
      </c>
      <c r="B34" s="1430">
        <v>5.1499999999999997E-2</v>
      </c>
      <c r="C34" s="569">
        <v>0.03</v>
      </c>
      <c r="E34" s="134" t="s">
        <v>513</v>
      </c>
      <c r="F34" s="1431">
        <v>0.05</v>
      </c>
      <c r="G34" s="569">
        <v>0.03</v>
      </c>
    </row>
    <row r="35" spans="1:7" x14ac:dyDescent="0.2">
      <c r="A35" s="134" t="s">
        <v>514</v>
      </c>
      <c r="B35" s="1430">
        <v>4.1000000000000002E-2</v>
      </c>
      <c r="C35" s="569">
        <v>0.02</v>
      </c>
      <c r="E35" s="134" t="s">
        <v>514</v>
      </c>
      <c r="F35" s="1431">
        <v>0.04</v>
      </c>
      <c r="G35" s="569">
        <v>0.02</v>
      </c>
    </row>
    <row r="36" spans="1:7" x14ac:dyDescent="0.2">
      <c r="A36" s="570" t="s">
        <v>516</v>
      </c>
      <c r="B36" s="571">
        <f>AVERAGE(B32:B35)</f>
        <v>4.1000000000000002E-2</v>
      </c>
      <c r="C36" s="571">
        <f>AVERAGE(C32:C35)</f>
        <v>2.5000000000000001E-2</v>
      </c>
      <c r="E36" s="570" t="s">
        <v>516</v>
      </c>
      <c r="F36" s="571">
        <f>AVERAGE(F32:F35)</f>
        <v>0.04</v>
      </c>
      <c r="G36" s="571">
        <f>AVERAGE(G32:G35)</f>
        <v>2.5000000000000001E-2</v>
      </c>
    </row>
  </sheetData>
  <sheetProtection algorithmName="SHA-512" hashValue="NA5D4Rq6MPXso3I7zaBbdKpKL3lbHaZsQBoN77/JHEyfik2WjIA5BiFIsh6vRqp+yJoCRr9m7E/FgPhbJSm2UQ==" saltValue="1VO0ikHEeJ+zFmifV5/V7w==" spinCount="100000" sheet="1" objects="1" scenarios="1"/>
  <mergeCells count="18">
    <mergeCell ref="A30:C30"/>
    <mergeCell ref="E30:G30"/>
    <mergeCell ref="A25:B25"/>
    <mergeCell ref="A26:B26"/>
    <mergeCell ref="A27:B27"/>
    <mergeCell ref="D25:D26"/>
    <mergeCell ref="A24:B24"/>
    <mergeCell ref="B1:D1"/>
    <mergeCell ref="A11:B11"/>
    <mergeCell ref="A12:B12"/>
    <mergeCell ref="F1:H1"/>
    <mergeCell ref="E11:F11"/>
    <mergeCell ref="E12:F12"/>
    <mergeCell ref="A19:D19"/>
    <mergeCell ref="A20:B20"/>
    <mergeCell ref="A21:B21"/>
    <mergeCell ref="A22:B22"/>
    <mergeCell ref="A23:B23"/>
  </mergeCells>
  <pageMargins left="0.70866141732283472" right="0.70866141732283472" top="0.78740157480314965" bottom="0.78740157480314965" header="0.31496062992125984" footer="0.31496062992125984"/>
  <pageSetup paperSize="9" orientation="portrait"/>
  <headerFooter>
    <oddFooter xml:space="preserve">&amp;C
&amp;1#&amp;"Calibri,Standard"&amp;10&amp;K000000 </oddFooter>
  </headerFooter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2"/>
  <sheetViews>
    <sheetView workbookViewId="0">
      <selection activeCell="L33" sqref="L33"/>
    </sheetView>
  </sheetViews>
  <sheetFormatPr baseColWidth="10" defaultRowHeight="14.25" x14ac:dyDescent="0.2"/>
  <sheetData>
    <row r="1" spans="1:14" ht="15.75" thickBot="1" x14ac:dyDescent="0.3">
      <c r="A1" s="384" t="s">
        <v>463</v>
      </c>
      <c r="B1" s="1898">
        <v>2022</v>
      </c>
      <c r="C1" s="1899"/>
      <c r="D1" s="1900"/>
      <c r="E1" s="392" t="s">
        <v>483</v>
      </c>
      <c r="F1" s="390"/>
      <c r="G1" s="391">
        <v>2022</v>
      </c>
      <c r="H1" s="384" t="s">
        <v>463</v>
      </c>
      <c r="I1" s="1893" t="s">
        <v>718</v>
      </c>
      <c r="J1" s="1894"/>
      <c r="K1" s="1895"/>
      <c r="L1" s="392" t="s">
        <v>483</v>
      </c>
      <c r="M1" s="390"/>
      <c r="N1" s="692">
        <v>2023</v>
      </c>
    </row>
    <row r="2" spans="1:14" ht="15" thickBot="1" x14ac:dyDescent="0.25">
      <c r="A2" s="385" t="s">
        <v>464</v>
      </c>
      <c r="B2" s="386" t="s">
        <v>465</v>
      </c>
      <c r="C2" s="387" t="s">
        <v>466</v>
      </c>
      <c r="D2" s="388" t="s">
        <v>467</v>
      </c>
      <c r="G2" s="387" t="s">
        <v>466</v>
      </c>
      <c r="H2" s="385" t="s">
        <v>464</v>
      </c>
      <c r="I2" s="386" t="s">
        <v>465</v>
      </c>
      <c r="J2" s="387" t="s">
        <v>466</v>
      </c>
      <c r="K2" s="388" t="s">
        <v>467</v>
      </c>
      <c r="N2" s="387" t="s">
        <v>466</v>
      </c>
    </row>
    <row r="3" spans="1:14" x14ac:dyDescent="0.2">
      <c r="A3" s="476" t="s">
        <v>468</v>
      </c>
      <c r="B3" s="477">
        <v>15.8</v>
      </c>
      <c r="C3" s="478">
        <f>B3/2</f>
        <v>7.9</v>
      </c>
      <c r="D3" s="472">
        <v>8.0500000000000007</v>
      </c>
      <c r="E3" s="473" t="s">
        <v>482</v>
      </c>
      <c r="F3" s="474"/>
      <c r="G3" s="475">
        <v>13</v>
      </c>
      <c r="H3" s="476" t="s">
        <v>468</v>
      </c>
      <c r="I3" s="477">
        <v>16.100000000000001</v>
      </c>
      <c r="J3" s="478">
        <f>I3/2</f>
        <v>8.0500000000000007</v>
      </c>
      <c r="K3" s="472">
        <f>I3/2</f>
        <v>8.0500000000000007</v>
      </c>
      <c r="L3" s="473" t="s">
        <v>482</v>
      </c>
      <c r="M3" s="474"/>
      <c r="N3" s="475">
        <v>13</v>
      </c>
    </row>
    <row r="4" spans="1:14" x14ac:dyDescent="0.2">
      <c r="A4" s="479" t="s">
        <v>469</v>
      </c>
      <c r="B4" s="480">
        <v>18.600000000000001</v>
      </c>
      <c r="C4" s="478">
        <f t="shared" ref="C4:C5" si="0">B4/2</f>
        <v>9.3000000000000007</v>
      </c>
      <c r="D4" s="494">
        <v>9.3000000000000007</v>
      </c>
      <c r="E4" s="495" t="s">
        <v>481</v>
      </c>
      <c r="F4" s="496"/>
      <c r="G4" s="497">
        <v>15</v>
      </c>
      <c r="H4" s="479" t="s">
        <v>469</v>
      </c>
      <c r="I4" s="480">
        <v>18.600000000000001</v>
      </c>
      <c r="J4" s="481">
        <f>I4/2</f>
        <v>9.3000000000000007</v>
      </c>
      <c r="K4" s="494">
        <f>I4/2</f>
        <v>9.3000000000000007</v>
      </c>
      <c r="L4" s="495" t="s">
        <v>481</v>
      </c>
      <c r="M4" s="496"/>
      <c r="N4" s="497">
        <v>15</v>
      </c>
    </row>
    <row r="5" spans="1:14" x14ac:dyDescent="0.2">
      <c r="A5" s="479" t="s">
        <v>470</v>
      </c>
      <c r="B5" s="480">
        <v>2.4</v>
      </c>
      <c r="C5" s="478">
        <f t="shared" si="0"/>
        <v>1.2</v>
      </c>
      <c r="D5" s="494">
        <v>1.3</v>
      </c>
      <c r="E5" s="479"/>
      <c r="F5" s="498"/>
      <c r="G5" s="497"/>
      <c r="H5" s="479" t="s">
        <v>470</v>
      </c>
      <c r="I5" s="480">
        <v>2.6</v>
      </c>
      <c r="J5" s="481">
        <f>I5/2</f>
        <v>1.3</v>
      </c>
      <c r="K5" s="494">
        <f>I5/2</f>
        <v>1.3</v>
      </c>
      <c r="L5" s="479"/>
      <c r="M5" s="498"/>
      <c r="N5" s="497"/>
    </row>
    <row r="6" spans="1:14" ht="15" thickBot="1" x14ac:dyDescent="0.25">
      <c r="A6" s="479" t="s">
        <v>471</v>
      </c>
      <c r="B6" s="482">
        <v>3.05</v>
      </c>
      <c r="C6" s="481">
        <v>1.0249999999999999</v>
      </c>
      <c r="D6" s="499">
        <v>2.0249999999999999</v>
      </c>
      <c r="E6" s="500"/>
      <c r="F6" s="496"/>
      <c r="G6" s="501"/>
      <c r="H6" s="479" t="s">
        <v>471</v>
      </c>
      <c r="I6" s="642">
        <v>3.4</v>
      </c>
      <c r="J6" s="643">
        <v>1.2</v>
      </c>
      <c r="K6" s="644">
        <v>2.2000000000000002</v>
      </c>
      <c r="L6" s="500"/>
      <c r="M6" s="496"/>
      <c r="N6" s="501"/>
    </row>
    <row r="7" spans="1:14" ht="15" thickBot="1" x14ac:dyDescent="0.25">
      <c r="A7" s="483" t="s">
        <v>472</v>
      </c>
      <c r="B7" s="484"/>
      <c r="C7" s="485">
        <f>SUM(C3:C6)</f>
        <v>19.425000000000001</v>
      </c>
      <c r="D7" s="502"/>
      <c r="E7" s="503" t="s">
        <v>472</v>
      </c>
      <c r="F7" s="504"/>
      <c r="G7" s="505">
        <v>28</v>
      </c>
      <c r="H7" s="483" t="s">
        <v>472</v>
      </c>
      <c r="I7" s="484"/>
      <c r="J7" s="485">
        <f>(J6+J5+J4+J3)</f>
        <v>19.850000000000001</v>
      </c>
      <c r="K7" s="502"/>
      <c r="L7" s="503" t="s">
        <v>472</v>
      </c>
      <c r="M7" s="504"/>
      <c r="N7" s="505">
        <f>SUM(N3:N6)</f>
        <v>28</v>
      </c>
    </row>
    <row r="8" spans="1:14" x14ac:dyDescent="0.2">
      <c r="A8" s="486" t="s">
        <v>473</v>
      </c>
      <c r="B8" s="487" t="s">
        <v>474</v>
      </c>
      <c r="C8" s="488">
        <v>0.84</v>
      </c>
      <c r="D8" s="506"/>
      <c r="E8" s="486" t="s">
        <v>473</v>
      </c>
      <c r="F8" s="496"/>
      <c r="G8" s="501">
        <v>0.28999999999999998</v>
      </c>
      <c r="H8" s="486" t="s">
        <v>473</v>
      </c>
      <c r="I8" s="487" t="s">
        <v>474</v>
      </c>
      <c r="J8" s="645">
        <v>0.79</v>
      </c>
      <c r="K8" s="506"/>
      <c r="L8" s="486" t="s">
        <v>473</v>
      </c>
      <c r="M8" s="496"/>
      <c r="N8" s="501">
        <v>0.28999999999999998</v>
      </c>
    </row>
    <row r="9" spans="1:14" ht="15" thickBot="1" x14ac:dyDescent="0.25">
      <c r="A9" s="486" t="s">
        <v>475</v>
      </c>
      <c r="B9" s="487" t="s">
        <v>476</v>
      </c>
      <c r="C9" s="489">
        <v>1.75</v>
      </c>
      <c r="D9" s="507"/>
      <c r="E9" s="486" t="s">
        <v>480</v>
      </c>
      <c r="F9" s="496"/>
      <c r="G9" s="501">
        <v>0.9</v>
      </c>
      <c r="H9" s="486" t="s">
        <v>475</v>
      </c>
      <c r="I9" s="487" t="s">
        <v>476</v>
      </c>
      <c r="J9" s="489">
        <v>2.15</v>
      </c>
      <c r="K9" s="507"/>
      <c r="L9" s="486" t="s">
        <v>480</v>
      </c>
      <c r="M9" s="496"/>
      <c r="N9" s="501">
        <v>0.9</v>
      </c>
    </row>
    <row r="10" spans="1:14" ht="15" thickBot="1" x14ac:dyDescent="0.25">
      <c r="A10" s="490" t="s">
        <v>477</v>
      </c>
      <c r="B10" s="491"/>
      <c r="C10" s="492">
        <v>0.09</v>
      </c>
      <c r="D10" s="507"/>
      <c r="E10" s="508" t="s">
        <v>477</v>
      </c>
      <c r="F10" s="509"/>
      <c r="G10" s="501">
        <v>0.09</v>
      </c>
      <c r="H10" s="490" t="s">
        <v>477</v>
      </c>
      <c r="I10" s="491"/>
      <c r="J10" s="492">
        <v>0.06</v>
      </c>
      <c r="K10" s="507"/>
      <c r="L10" s="508" t="s">
        <v>477</v>
      </c>
      <c r="M10" s="509"/>
      <c r="N10" s="638">
        <v>0.06</v>
      </c>
    </row>
    <row r="11" spans="1:14" ht="15" thickBot="1" x14ac:dyDescent="0.25">
      <c r="A11" s="1595" t="s">
        <v>478</v>
      </c>
      <c r="B11" s="1596"/>
      <c r="C11" s="493">
        <f>C7+C8+C10</f>
        <v>20.355</v>
      </c>
      <c r="D11" s="507"/>
      <c r="E11" s="1595" t="s">
        <v>478</v>
      </c>
      <c r="F11" s="1597"/>
      <c r="G11" s="510">
        <v>28.38</v>
      </c>
      <c r="H11" s="1595" t="s">
        <v>478</v>
      </c>
      <c r="I11" s="1596"/>
      <c r="J11" s="493">
        <f>(J7+J8+J10)</f>
        <v>20.7</v>
      </c>
      <c r="K11" s="507"/>
      <c r="L11" s="1595" t="s">
        <v>478</v>
      </c>
      <c r="M11" s="1597"/>
      <c r="N11" s="510">
        <f>(N7+N8+N10)</f>
        <v>28.349999999999998</v>
      </c>
    </row>
    <row r="12" spans="1:14" ht="15" thickBot="1" x14ac:dyDescent="0.25">
      <c r="A12" s="1595" t="s">
        <v>479</v>
      </c>
      <c r="B12" s="1596"/>
      <c r="C12" s="493">
        <f>C11+C9</f>
        <v>22.105</v>
      </c>
      <c r="D12" s="511"/>
      <c r="E12" s="1595" t="s">
        <v>479</v>
      </c>
      <c r="F12" s="1597"/>
      <c r="G12" s="512">
        <v>29.279999999999998</v>
      </c>
      <c r="H12" s="1595" t="s">
        <v>479</v>
      </c>
      <c r="I12" s="1596"/>
      <c r="J12" s="493">
        <f>J11+J9</f>
        <v>22.849999999999998</v>
      </c>
      <c r="K12" s="511"/>
      <c r="L12" s="1595" t="s">
        <v>479</v>
      </c>
      <c r="M12" s="1597"/>
      <c r="N12" s="512">
        <f>N11+N9</f>
        <v>29.249999999999996</v>
      </c>
    </row>
    <row r="13" spans="1:14" x14ac:dyDescent="0.2">
      <c r="C13" s="496"/>
    </row>
    <row r="14" spans="1:14" x14ac:dyDescent="0.2">
      <c r="A14" s="54" t="s">
        <v>599</v>
      </c>
      <c r="B14" s="143">
        <v>2022</v>
      </c>
      <c r="C14" s="54">
        <v>2023</v>
      </c>
      <c r="D14" s="54">
        <v>2024</v>
      </c>
    </row>
    <row r="15" spans="1:14" x14ac:dyDescent="0.2">
      <c r="A15" t="s">
        <v>339</v>
      </c>
      <c r="B15" s="637">
        <v>20.59</v>
      </c>
      <c r="C15">
        <v>21.87</v>
      </c>
      <c r="D15">
        <v>22.76</v>
      </c>
    </row>
    <row r="16" spans="1:14" x14ac:dyDescent="0.2">
      <c r="A16" t="s">
        <v>340</v>
      </c>
      <c r="B16" s="637">
        <v>17.079999999999998</v>
      </c>
      <c r="C16">
        <v>17.41</v>
      </c>
      <c r="D16">
        <v>18.440000000000001</v>
      </c>
    </row>
    <row r="17" spans="1:4" x14ac:dyDescent="0.2">
      <c r="A17" t="s">
        <v>341</v>
      </c>
      <c r="B17" s="637">
        <v>15.59</v>
      </c>
      <c r="C17">
        <v>16.48</v>
      </c>
      <c r="D17">
        <v>17.28</v>
      </c>
    </row>
    <row r="18" spans="1:4" x14ac:dyDescent="0.2">
      <c r="A18" t="s">
        <v>599</v>
      </c>
      <c r="B18" s="697">
        <v>18.25</v>
      </c>
      <c r="C18">
        <v>19.43</v>
      </c>
      <c r="D18">
        <v>20.14</v>
      </c>
    </row>
    <row r="20" spans="1:4" x14ac:dyDescent="0.2">
      <c r="A20" s="295" t="s">
        <v>857</v>
      </c>
      <c r="B20" s="295"/>
      <c r="C20" s="295"/>
    </row>
    <row r="21" spans="1:4" x14ac:dyDescent="0.2">
      <c r="A21" s="699">
        <v>44835</v>
      </c>
      <c r="B21" s="700">
        <v>45292</v>
      </c>
      <c r="C21" s="699">
        <v>45658</v>
      </c>
    </row>
    <row r="22" spans="1:4" x14ac:dyDescent="0.2">
      <c r="A22" s="698">
        <v>12</v>
      </c>
      <c r="B22" s="701">
        <v>12.41</v>
      </c>
      <c r="C22" s="698">
        <v>12.82</v>
      </c>
    </row>
  </sheetData>
  <mergeCells count="10">
    <mergeCell ref="I1:K1"/>
    <mergeCell ref="H11:I11"/>
    <mergeCell ref="H12:I12"/>
    <mergeCell ref="L11:M11"/>
    <mergeCell ref="L12:M12"/>
    <mergeCell ref="B1:D1"/>
    <mergeCell ref="A11:B11"/>
    <mergeCell ref="E11:F11"/>
    <mergeCell ref="A12:B12"/>
    <mergeCell ref="E12:F12"/>
  </mergeCells>
  <pageMargins left="0.70866141732283472" right="0.70866141732283472" top="0.78740157480314965" bottom="0.78740157480314965" header="0.31496062992125984" footer="0.31496062992125984"/>
  <pageSetup paperSize="9" orientation="landscape"/>
  <headerFooter>
    <oddFooter>&amp;C_x000D_&amp;1#&amp;"Calibri"&amp;10&amp;K000000 öffentlich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W177"/>
  <sheetViews>
    <sheetView topLeftCell="A158" zoomScaleNormal="100" workbookViewId="0">
      <selection activeCell="A177" sqref="A177"/>
    </sheetView>
  </sheetViews>
  <sheetFormatPr baseColWidth="10" defaultRowHeight="14.25" x14ac:dyDescent="0.2"/>
  <cols>
    <col min="1" max="1" width="16.875" customWidth="1"/>
    <col min="3" max="3" width="17.875" customWidth="1"/>
    <col min="9" max="9" width="16.125" customWidth="1"/>
    <col min="20" max="20" width="16.5" customWidth="1"/>
    <col min="23" max="23" width="14" customWidth="1"/>
  </cols>
  <sheetData>
    <row r="1" spans="1:16" s="33" customFormat="1" ht="15" x14ac:dyDescent="0.25">
      <c r="A1" s="33" t="s">
        <v>124</v>
      </c>
      <c r="B1" s="33" t="s">
        <v>125</v>
      </c>
      <c r="C1" s="33" t="s">
        <v>74</v>
      </c>
      <c r="D1" s="33" t="s">
        <v>126</v>
      </c>
      <c r="E1" s="34" t="s">
        <v>127</v>
      </c>
      <c r="F1" s="33" t="s">
        <v>128</v>
      </c>
      <c r="G1" s="286"/>
      <c r="I1" s="704" t="s">
        <v>862</v>
      </c>
      <c r="J1" s="705"/>
      <c r="K1" s="705"/>
      <c r="L1" s="705"/>
      <c r="M1" s="705"/>
      <c r="N1" s="808"/>
    </row>
    <row r="2" spans="1:16" x14ac:dyDescent="0.2">
      <c r="A2" s="35" t="s">
        <v>134</v>
      </c>
      <c r="B2" s="36" t="s">
        <v>130</v>
      </c>
      <c r="C2" s="35">
        <v>30.42</v>
      </c>
      <c r="D2" s="35">
        <v>365</v>
      </c>
      <c r="E2" s="37">
        <v>1</v>
      </c>
      <c r="F2" s="35" t="s">
        <v>131</v>
      </c>
      <c r="G2" s="861"/>
      <c r="I2" s="716" t="s">
        <v>863</v>
      </c>
      <c r="J2" s="702" t="s">
        <v>864</v>
      </c>
      <c r="K2" s="134" t="s">
        <v>865</v>
      </c>
      <c r="L2" s="134" t="s">
        <v>866</v>
      </c>
      <c r="M2" s="134"/>
      <c r="N2" s="717"/>
    </row>
    <row r="3" spans="1:16" x14ac:dyDescent="0.2">
      <c r="A3" s="35" t="s">
        <v>135</v>
      </c>
      <c r="B3" s="35"/>
      <c r="C3" s="35">
        <v>26</v>
      </c>
      <c r="D3" s="35">
        <v>312</v>
      </c>
      <c r="E3" s="37">
        <v>0.99</v>
      </c>
      <c r="F3" s="35" t="s">
        <v>133</v>
      </c>
      <c r="G3" s="210"/>
      <c r="I3" s="716">
        <f>IF('B2_Allgemeine Angaben'!D7&lt;&gt;"vst",1,2)</f>
        <v>1</v>
      </c>
      <c r="J3" s="703"/>
      <c r="K3" s="134"/>
      <c r="L3" s="134" t="s">
        <v>867</v>
      </c>
      <c r="M3" s="134"/>
      <c r="N3" s="717"/>
    </row>
    <row r="4" spans="1:16" x14ac:dyDescent="0.2">
      <c r="A4" s="35" t="s">
        <v>129</v>
      </c>
      <c r="C4" s="35">
        <v>20.83</v>
      </c>
      <c r="D4" s="35">
        <v>250</v>
      </c>
      <c r="E4" s="37">
        <v>0.98</v>
      </c>
      <c r="F4" s="35"/>
      <c r="G4" s="210"/>
      <c r="I4" s="716"/>
      <c r="J4" s="134">
        <f>IF('B2_Allgemeine Angaben'!H52&lt;DATEVALUE("01.07.2023"),1,2)</f>
        <v>1</v>
      </c>
      <c r="K4" s="134"/>
      <c r="L4" s="134" t="s">
        <v>868</v>
      </c>
      <c r="M4" s="134"/>
      <c r="N4" s="717"/>
    </row>
    <row r="5" spans="1:16" ht="15" thickBot="1" x14ac:dyDescent="0.25">
      <c r="A5" s="35" t="s">
        <v>30</v>
      </c>
      <c r="C5" s="35"/>
      <c r="D5" s="35"/>
      <c r="E5" s="37">
        <v>0.97</v>
      </c>
      <c r="G5" s="210"/>
      <c r="I5" s="809"/>
      <c r="J5" s="810"/>
      <c r="K5" s="810">
        <f>IF(AND(I3=2,J4=2),2,1)</f>
        <v>1</v>
      </c>
      <c r="L5" s="154" t="s">
        <v>869</v>
      </c>
      <c r="M5" s="154"/>
      <c r="N5" s="722"/>
    </row>
    <row r="6" spans="1:16" ht="15" x14ac:dyDescent="0.25">
      <c r="A6" s="35" t="s">
        <v>132</v>
      </c>
      <c r="E6" s="37">
        <v>0.96</v>
      </c>
      <c r="I6" s="704" t="s">
        <v>876</v>
      </c>
      <c r="J6" s="705"/>
      <c r="K6" s="705"/>
      <c r="L6" s="705"/>
      <c r="M6" s="705"/>
      <c r="N6" s="706"/>
      <c r="O6" s="706"/>
      <c r="P6" s="707"/>
    </row>
    <row r="7" spans="1:16" x14ac:dyDescent="0.2">
      <c r="A7" s="35"/>
      <c r="E7" s="37">
        <v>0.95</v>
      </c>
      <c r="I7" s="716" t="s">
        <v>877</v>
      </c>
      <c r="J7" s="134"/>
      <c r="K7" s="134"/>
      <c r="L7" s="134"/>
      <c r="M7" s="134"/>
      <c r="N7" s="134"/>
      <c r="O7" s="134"/>
      <c r="P7" s="717"/>
    </row>
    <row r="8" spans="1:16" x14ac:dyDescent="0.2">
      <c r="A8" s="35"/>
      <c r="E8" s="37">
        <v>0.94</v>
      </c>
      <c r="I8" s="718" t="s">
        <v>878</v>
      </c>
      <c r="J8" s="711" t="s">
        <v>339</v>
      </c>
      <c r="K8" s="711" t="s">
        <v>340</v>
      </c>
      <c r="L8" s="711" t="s">
        <v>341</v>
      </c>
      <c r="M8" s="715" t="s">
        <v>315</v>
      </c>
      <c r="N8" s="713" t="s">
        <v>880</v>
      </c>
      <c r="O8" s="713" t="s">
        <v>340</v>
      </c>
      <c r="P8" s="719" t="s">
        <v>341</v>
      </c>
    </row>
    <row r="9" spans="1:16" x14ac:dyDescent="0.2">
      <c r="E9" s="37">
        <v>0.93</v>
      </c>
      <c r="I9" s="720" t="s">
        <v>879</v>
      </c>
      <c r="J9" s="712">
        <v>7.6999999999999999E-2</v>
      </c>
      <c r="K9" s="712">
        <v>5.6399999999999999E-2</v>
      </c>
      <c r="L9" s="712">
        <v>8.72E-2</v>
      </c>
      <c r="M9" s="714">
        <f>B2_Kalkulation!H14</f>
        <v>0</v>
      </c>
      <c r="N9" s="714">
        <f>M9*J9</f>
        <v>0</v>
      </c>
      <c r="O9" s="714">
        <f>M9*K9</f>
        <v>0</v>
      </c>
      <c r="P9" s="721">
        <f>M9*L9</f>
        <v>0</v>
      </c>
    </row>
    <row r="10" spans="1:16" x14ac:dyDescent="0.2">
      <c r="A10" s="35" t="s">
        <v>805</v>
      </c>
      <c r="E10" s="37">
        <v>0.92</v>
      </c>
      <c r="I10" s="720" t="s">
        <v>204</v>
      </c>
      <c r="J10" s="712">
        <v>0.1037</v>
      </c>
      <c r="K10" s="712">
        <v>6.7500000000000004E-2</v>
      </c>
      <c r="L10" s="712">
        <v>0.1202</v>
      </c>
      <c r="M10" s="714">
        <f>B2_Kalkulation!I14</f>
        <v>0</v>
      </c>
      <c r="N10" s="714">
        <f t="shared" ref="N10:N13" si="0">M10*J10</f>
        <v>0</v>
      </c>
      <c r="O10" s="714">
        <f t="shared" ref="O10:O13" si="1">M10*K10</f>
        <v>0</v>
      </c>
      <c r="P10" s="721">
        <f t="shared" ref="P10:P13" si="2">M10*L10</f>
        <v>0</v>
      </c>
    </row>
    <row r="11" spans="1:16" x14ac:dyDescent="0.2">
      <c r="A11" s="35" t="s">
        <v>806</v>
      </c>
      <c r="E11" s="37">
        <v>0.91</v>
      </c>
      <c r="I11" s="720" t="s">
        <v>203</v>
      </c>
      <c r="J11" s="712">
        <v>0.15509999999999999</v>
      </c>
      <c r="K11" s="712">
        <v>0.1074</v>
      </c>
      <c r="L11" s="712">
        <v>0.14480000000000001</v>
      </c>
      <c r="M11" s="714">
        <f>B2_Kalkulation!J14</f>
        <v>0</v>
      </c>
      <c r="N11" s="714">
        <f t="shared" si="0"/>
        <v>0</v>
      </c>
      <c r="O11" s="714">
        <f t="shared" si="1"/>
        <v>0</v>
      </c>
      <c r="P11" s="721">
        <f t="shared" si="2"/>
        <v>0</v>
      </c>
    </row>
    <row r="12" spans="1:16" x14ac:dyDescent="0.2">
      <c r="E12" s="37">
        <v>0.9</v>
      </c>
      <c r="I12" s="720" t="s">
        <v>202</v>
      </c>
      <c r="J12" s="712">
        <v>0.24629999999999999</v>
      </c>
      <c r="K12" s="712">
        <v>0.14130000000000001</v>
      </c>
      <c r="L12" s="712">
        <v>0.16270000000000001</v>
      </c>
      <c r="M12" s="714">
        <f>B2_Kalkulation!K14</f>
        <v>0</v>
      </c>
      <c r="N12" s="714">
        <f t="shared" si="0"/>
        <v>0</v>
      </c>
      <c r="O12" s="714">
        <f t="shared" si="1"/>
        <v>0</v>
      </c>
      <c r="P12" s="721">
        <f t="shared" si="2"/>
        <v>0</v>
      </c>
    </row>
    <row r="13" spans="1:16" ht="15" thickBot="1" x14ac:dyDescent="0.25">
      <c r="E13" s="37">
        <v>0.89</v>
      </c>
      <c r="I13" s="720" t="s">
        <v>201</v>
      </c>
      <c r="J13" s="712">
        <v>0.38419999999999999</v>
      </c>
      <c r="K13" s="712">
        <v>0.11020000000000001</v>
      </c>
      <c r="L13" s="712">
        <v>0.17580000000000001</v>
      </c>
      <c r="M13" s="714">
        <f>B2_Kalkulation!L14</f>
        <v>0</v>
      </c>
      <c r="N13" s="714">
        <f t="shared" si="0"/>
        <v>0</v>
      </c>
      <c r="O13" s="714">
        <f t="shared" si="1"/>
        <v>0</v>
      </c>
      <c r="P13" s="721">
        <f t="shared" si="2"/>
        <v>0</v>
      </c>
    </row>
    <row r="14" spans="1:16" ht="15" thickBot="1" x14ac:dyDescent="0.25">
      <c r="A14" s="865" t="s">
        <v>1086</v>
      </c>
      <c r="B14" s="866"/>
      <c r="C14" s="867"/>
      <c r="E14" s="37">
        <v>0.88</v>
      </c>
      <c r="I14" s="723" t="s">
        <v>320</v>
      </c>
      <c r="J14" s="724">
        <f>SUM(J9:J13)</f>
        <v>0.96629999999999994</v>
      </c>
      <c r="K14" s="724">
        <f t="shared" ref="K14" si="3">SUM(K9:K13)</f>
        <v>0.48280000000000006</v>
      </c>
      <c r="L14" s="724">
        <f>SUM(L9:L13)</f>
        <v>0.69070000000000009</v>
      </c>
      <c r="M14" s="800">
        <f t="shared" ref="M14" si="4">SUM(M9:M13)</f>
        <v>0</v>
      </c>
      <c r="N14" s="800">
        <f>SUM(N9:N13)</f>
        <v>0</v>
      </c>
      <c r="O14" s="800">
        <f>SUM(O9:O13)</f>
        <v>0</v>
      </c>
      <c r="P14" s="801">
        <f>SUM(P9:P13)</f>
        <v>0</v>
      </c>
    </row>
    <row r="15" spans="1:16" ht="15" thickTop="1" x14ac:dyDescent="0.2">
      <c r="A15" s="868">
        <f>IF(OR('B2_Allgemeine Angaben'!D7="tst",'B2_Allgemeine Angaben'!D7="kzp"),1,0)</f>
        <v>0</v>
      </c>
      <c r="B15" s="864" t="s">
        <v>1090</v>
      </c>
      <c r="C15" s="869"/>
      <c r="E15" s="37">
        <v>0.87</v>
      </c>
      <c r="I15" s="1561"/>
      <c r="J15" s="1562"/>
      <c r="K15" s="1562"/>
      <c r="L15" s="1562"/>
      <c r="M15" s="1563"/>
      <c r="N15" s="802"/>
      <c r="O15" s="802"/>
      <c r="P15" s="803"/>
    </row>
    <row r="16" spans="1:16" ht="15" thickBot="1" x14ac:dyDescent="0.25">
      <c r="A16" s="868">
        <f>IF(AND('B2_Allgemeine Angaben'!D7="vst",'B2_Allgemeine Angaben'!L48&gt;0),2,0)</f>
        <v>0</v>
      </c>
      <c r="B16" t="s">
        <v>1091</v>
      </c>
      <c r="C16" s="530"/>
      <c r="E16" s="37">
        <v>0.86</v>
      </c>
      <c r="I16" s="1558" t="s">
        <v>886</v>
      </c>
      <c r="J16" s="1559"/>
      <c r="K16" s="1559"/>
      <c r="L16" s="1559"/>
      <c r="M16" s="1560"/>
      <c r="N16" s="799">
        <f>SUM(B2_Personalkostenübersicht!AG111:AG122)</f>
        <v>0</v>
      </c>
      <c r="O16" s="799">
        <f>SUM(B2_Personalkostenübersicht!AH224:AH243)</f>
        <v>0</v>
      </c>
      <c r="P16" s="807">
        <f>SUM(B2_Personalkostenübersicht!AI224:AI243)</f>
        <v>0</v>
      </c>
    </row>
    <row r="17" spans="1:16" ht="15" thickBot="1" x14ac:dyDescent="0.25">
      <c r="A17" s="870"/>
      <c r="B17" t="s">
        <v>1092</v>
      </c>
      <c r="C17" s="530"/>
      <c r="E17" s="37">
        <v>0.85</v>
      </c>
      <c r="I17" s="1558" t="s">
        <v>881</v>
      </c>
      <c r="J17" s="1559"/>
      <c r="K17" s="1559"/>
      <c r="L17" s="1559"/>
      <c r="M17" s="1560"/>
      <c r="N17" s="153">
        <f>N14+N16</f>
        <v>0</v>
      </c>
      <c r="O17" s="153">
        <f t="shared" ref="O17:P17" si="5">O14+O16</f>
        <v>0</v>
      </c>
      <c r="P17" s="153">
        <f t="shared" si="5"/>
        <v>0</v>
      </c>
    </row>
    <row r="18" spans="1:16" ht="15.75" thickBot="1" x14ac:dyDescent="0.3">
      <c r="A18" s="873">
        <f>SUM(A15:A17)</f>
        <v>0</v>
      </c>
      <c r="B18" s="874" t="s">
        <v>865</v>
      </c>
      <c r="C18" s="871"/>
      <c r="E18" s="35"/>
      <c r="I18" s="704" t="s">
        <v>924</v>
      </c>
      <c r="J18" s="706"/>
      <c r="K18" s="706"/>
      <c r="L18" s="706"/>
      <c r="M18" s="706"/>
      <c r="N18" s="706"/>
      <c r="O18" s="706"/>
      <c r="P18" s="707"/>
    </row>
    <row r="19" spans="1:16" ht="15.75" thickTop="1" thickBot="1" x14ac:dyDescent="0.25">
      <c r="A19" s="872"/>
      <c r="B19" s="709"/>
      <c r="C19" s="710"/>
      <c r="I19" s="708">
        <f>IF(OR('B2_Allgemeine Angaben'!D7="kzp",'B2_Allgemeine Angaben'!D7="vst"),1,2)</f>
        <v>2</v>
      </c>
      <c r="J19" s="709"/>
      <c r="K19" s="709" t="s">
        <v>925</v>
      </c>
      <c r="L19" s="709"/>
      <c r="M19" s="709"/>
      <c r="N19" s="709"/>
      <c r="O19" s="709"/>
      <c r="P19" s="710"/>
    </row>
    <row r="20" spans="1:16" ht="15" thickBot="1" x14ac:dyDescent="0.25">
      <c r="A20" s="125" t="s">
        <v>243</v>
      </c>
      <c r="B20" s="114"/>
      <c r="C20" s="114"/>
      <c r="D20" s="114"/>
      <c r="E20" s="114"/>
      <c r="F20" s="91"/>
      <c r="G20" s="91"/>
      <c r="H20" s="91"/>
      <c r="I20" s="91"/>
      <c r="J20" s="91"/>
      <c r="K20" s="119"/>
      <c r="L20" s="119"/>
      <c r="M20" s="91"/>
      <c r="N20" s="91"/>
      <c r="O20" s="91"/>
      <c r="P20" s="91"/>
    </row>
    <row r="21" spans="1:16" ht="15.75" thickTop="1" thickBot="1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1:16" x14ac:dyDescent="0.2">
      <c r="A22" s="92" t="s">
        <v>205</v>
      </c>
      <c r="B22" s="93" t="s">
        <v>215</v>
      </c>
      <c r="C22" s="91"/>
      <c r="D22" s="91"/>
      <c r="E22" s="91"/>
      <c r="F22" s="91"/>
      <c r="G22" s="91"/>
      <c r="H22" s="91"/>
      <c r="I22" s="91"/>
      <c r="J22" s="123" t="s">
        <v>226</v>
      </c>
      <c r="K22" s="91"/>
      <c r="L22" s="91"/>
      <c r="M22" s="118"/>
      <c r="N22" s="91"/>
      <c r="O22" s="91"/>
      <c r="P22" s="91"/>
    </row>
    <row r="23" spans="1:16" x14ac:dyDescent="0.2">
      <c r="A23" s="94">
        <v>1</v>
      </c>
      <c r="B23" s="95">
        <f>IF(B2_Kalkulation!H14&lt;&gt;0,'B2_Gesamtkalkulation '!H47,0)</f>
        <v>0</v>
      </c>
      <c r="C23" s="91"/>
      <c r="D23" s="91"/>
      <c r="E23" s="91"/>
      <c r="F23" s="91"/>
      <c r="G23" s="91"/>
      <c r="H23" s="91"/>
      <c r="I23" s="91"/>
      <c r="J23" s="91" t="s">
        <v>227</v>
      </c>
      <c r="K23" s="91"/>
      <c r="L23" s="91"/>
      <c r="M23" s="91"/>
      <c r="N23" s="91"/>
      <c r="O23" s="91"/>
      <c r="P23" s="91"/>
    </row>
    <row r="24" spans="1:16" ht="15" thickBot="1" x14ac:dyDescent="0.25">
      <c r="A24" s="94">
        <v>2</v>
      </c>
      <c r="B24" s="122">
        <f>IF(B2_Kalkulation!I14&lt;&gt;0,'B2_Gesamtkalkulation '!J47,0)</f>
        <v>0</v>
      </c>
      <c r="C24" s="91"/>
      <c r="D24" s="91"/>
      <c r="E24" s="91"/>
      <c r="F24" s="91"/>
      <c r="G24" s="91"/>
      <c r="H24" s="91"/>
      <c r="I24" s="91"/>
      <c r="J24" s="91" t="s">
        <v>228</v>
      </c>
      <c r="K24" s="91"/>
      <c r="L24" s="91"/>
      <c r="M24" s="91"/>
      <c r="N24" s="91"/>
      <c r="O24" s="91"/>
      <c r="P24" s="91"/>
    </row>
    <row r="25" spans="1:16" x14ac:dyDescent="0.2">
      <c r="A25" s="94">
        <v>3</v>
      </c>
      <c r="B25" s="122">
        <f>IF(B2_Kalkulation!J14&lt;&gt;0,'B2_Gesamtkalkulation '!L47,0)</f>
        <v>0</v>
      </c>
      <c r="C25" s="91"/>
      <c r="D25" s="96" t="s">
        <v>212</v>
      </c>
      <c r="E25" s="97"/>
      <c r="F25" s="115" t="str">
        <f>IF('B2_Allgemeine Angaben'!D7="tst","tst",IF('B2_Allgemeine Angaben'!D7="kzp","KZP",""))</f>
        <v/>
      </c>
      <c r="G25" s="98"/>
      <c r="H25" s="91"/>
      <c r="I25" s="91"/>
      <c r="J25" s="91" t="s">
        <v>229</v>
      </c>
      <c r="K25" s="91"/>
      <c r="L25" s="91"/>
      <c r="M25" s="91"/>
      <c r="N25" s="91"/>
      <c r="O25" s="91"/>
      <c r="P25" s="91"/>
    </row>
    <row r="26" spans="1:16" ht="15" thickBot="1" x14ac:dyDescent="0.25">
      <c r="A26" s="94">
        <v>4</v>
      </c>
      <c r="B26" s="122">
        <f>IF(B2_Kalkulation!K14&lt;&gt;0,'B2_Gesamtkalkulation '!N47,0)</f>
        <v>0</v>
      </c>
      <c r="C26" s="91"/>
      <c r="D26" s="99" t="s">
        <v>225</v>
      </c>
      <c r="E26" s="100"/>
      <c r="F26" s="100"/>
      <c r="G26" s="101"/>
      <c r="H26" s="91"/>
      <c r="I26" s="91"/>
      <c r="J26" s="91"/>
      <c r="K26" s="91"/>
      <c r="L26" s="91"/>
      <c r="M26" s="91"/>
      <c r="N26" s="91"/>
      <c r="O26" s="91"/>
      <c r="P26" s="91"/>
    </row>
    <row r="27" spans="1:16" x14ac:dyDescent="0.2">
      <c r="A27" s="102">
        <v>5</v>
      </c>
      <c r="B27" s="95">
        <f>IF(B2_Kalkulation!L14&lt;&gt;0,'B2_Gesamtkalkulation '!P47,0)</f>
        <v>0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</row>
    <row r="28" spans="1:16" x14ac:dyDescent="0.2">
      <c r="A28" s="103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124" t="s">
        <v>230</v>
      </c>
      <c r="M28" s="91"/>
      <c r="N28" s="91"/>
      <c r="O28" s="91"/>
      <c r="P28" s="91"/>
    </row>
    <row r="29" spans="1:16" x14ac:dyDescent="0.2">
      <c r="A29" s="91" t="s">
        <v>220</v>
      </c>
      <c r="B29" s="91"/>
      <c r="C29" s="91"/>
      <c r="D29" s="91"/>
      <c r="E29" s="91" t="s">
        <v>219</v>
      </c>
      <c r="F29" s="91"/>
      <c r="G29" s="91"/>
      <c r="H29" s="91"/>
      <c r="I29" s="91"/>
      <c r="J29" s="91"/>
      <c r="K29" s="91"/>
      <c r="L29" s="91" t="s">
        <v>244</v>
      </c>
      <c r="M29" s="91"/>
      <c r="N29" s="91"/>
      <c r="O29" s="91"/>
      <c r="P29" s="91"/>
    </row>
    <row r="30" spans="1:16" x14ac:dyDescent="0.2">
      <c r="A30" s="104"/>
      <c r="B30" s="105" t="s">
        <v>207</v>
      </c>
      <c r="C30" s="104" t="s">
        <v>208</v>
      </c>
      <c r="D30" s="106" t="s">
        <v>217</v>
      </c>
      <c r="E30" s="107" t="s">
        <v>218</v>
      </c>
      <c r="F30" s="105"/>
      <c r="G30" s="104" t="s">
        <v>216</v>
      </c>
      <c r="H30" s="104" t="s">
        <v>223</v>
      </c>
      <c r="I30" s="105"/>
      <c r="J30" s="105" t="s">
        <v>211</v>
      </c>
      <c r="K30" s="91"/>
      <c r="L30" s="91" t="s">
        <v>231</v>
      </c>
      <c r="M30" s="91"/>
      <c r="N30" s="91"/>
      <c r="O30" s="91"/>
      <c r="P30" s="91"/>
    </row>
    <row r="31" spans="1:16" x14ac:dyDescent="0.2">
      <c r="A31" s="108"/>
      <c r="B31" s="109"/>
      <c r="C31" s="110"/>
      <c r="D31" s="110">
        <f>IF(B23=0,B24*B55/C55,0)</f>
        <v>0</v>
      </c>
      <c r="E31" s="109">
        <f>IF(B23=0,B24*B48/C48,0)</f>
        <v>0</v>
      </c>
      <c r="F31" s="109"/>
      <c r="G31" s="110">
        <f>IF(F25="tst",D31,E31)</f>
        <v>0</v>
      </c>
      <c r="H31" s="117">
        <f>IF(B23=0,G31,B23)</f>
        <v>0</v>
      </c>
      <c r="I31" s="91"/>
      <c r="J31" s="111" t="s">
        <v>200</v>
      </c>
      <c r="K31" s="91"/>
      <c r="L31" s="91" t="s">
        <v>232</v>
      </c>
      <c r="M31" s="91"/>
      <c r="N31" s="91"/>
      <c r="O31" s="91"/>
      <c r="P31" s="91"/>
    </row>
    <row r="32" spans="1:16" x14ac:dyDescent="0.2">
      <c r="A32" s="108"/>
      <c r="B32" s="120"/>
      <c r="C32" s="121"/>
      <c r="D32" s="121"/>
      <c r="E32" s="120"/>
      <c r="F32" s="120"/>
      <c r="G32" s="121"/>
      <c r="H32" s="117">
        <f>IF(B24=0,G32,B24)</f>
        <v>0</v>
      </c>
      <c r="I32" s="91"/>
      <c r="J32" s="111" t="s">
        <v>204</v>
      </c>
      <c r="K32" s="91"/>
      <c r="L32" s="91" t="s">
        <v>233</v>
      </c>
      <c r="M32" s="91"/>
      <c r="N32" s="91"/>
      <c r="O32" s="91"/>
      <c r="P32" s="91"/>
    </row>
    <row r="33" spans="1:16" x14ac:dyDescent="0.2">
      <c r="A33" s="108"/>
      <c r="B33" s="120"/>
      <c r="C33" s="121"/>
      <c r="D33" s="121"/>
      <c r="E33" s="120"/>
      <c r="F33" s="120"/>
      <c r="G33" s="121"/>
      <c r="H33" s="117">
        <f>IF(B25=0,G33,B25)</f>
        <v>0</v>
      </c>
      <c r="I33" s="91"/>
      <c r="J33" s="111" t="s">
        <v>203</v>
      </c>
      <c r="K33" s="91"/>
      <c r="L33" s="91" t="s">
        <v>234</v>
      </c>
      <c r="M33" s="91"/>
      <c r="N33" s="91"/>
      <c r="O33" s="91"/>
      <c r="P33" s="91"/>
    </row>
    <row r="34" spans="1:16" x14ac:dyDescent="0.2">
      <c r="A34" s="108"/>
      <c r="B34" s="120"/>
      <c r="C34" s="121"/>
      <c r="D34" s="121"/>
      <c r="E34" s="120"/>
      <c r="F34" s="120"/>
      <c r="G34" s="121"/>
      <c r="H34" s="117">
        <f>IF(B26=0,G34,B26)</f>
        <v>0</v>
      </c>
      <c r="I34" s="91"/>
      <c r="J34" s="111" t="s">
        <v>202</v>
      </c>
      <c r="K34" s="91"/>
      <c r="L34" s="91" t="s">
        <v>235</v>
      </c>
      <c r="M34" s="91"/>
      <c r="N34" s="91"/>
      <c r="O34" s="91"/>
      <c r="P34" s="91"/>
    </row>
    <row r="35" spans="1:16" x14ac:dyDescent="0.2">
      <c r="A35" s="108"/>
      <c r="B35" s="109"/>
      <c r="C35" s="110"/>
      <c r="D35" s="112">
        <f>IF(B27=0,B26/E55*F55,0)</f>
        <v>0</v>
      </c>
      <c r="E35" s="109">
        <f>IF(B27=0,B26*F48/E48,0)</f>
        <v>0</v>
      </c>
      <c r="F35" s="109"/>
      <c r="G35" s="110">
        <f>IF(F25="tst",D35,E35)</f>
        <v>0</v>
      </c>
      <c r="H35" s="117">
        <f>IF(B27=0,G35,B27)</f>
        <v>0</v>
      </c>
      <c r="I35" s="91"/>
      <c r="J35" s="111" t="s">
        <v>201</v>
      </c>
      <c r="K35" s="91"/>
      <c r="L35" s="91" t="s">
        <v>236</v>
      </c>
      <c r="M35" s="91"/>
      <c r="N35" s="91"/>
      <c r="O35" s="91"/>
      <c r="P35" s="91"/>
    </row>
    <row r="36" spans="1:16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 t="s">
        <v>237</v>
      </c>
      <c r="M36" s="91"/>
      <c r="N36" s="91"/>
      <c r="O36" s="91"/>
      <c r="P36" s="91"/>
    </row>
    <row r="37" spans="1:16" x14ac:dyDescent="0.2">
      <c r="A37" s="113"/>
      <c r="B37" s="113"/>
      <c r="C37" s="113"/>
      <c r="D37" s="91"/>
      <c r="E37" s="91"/>
      <c r="F37" s="91"/>
      <c r="G37" s="91"/>
      <c r="H37" s="91"/>
      <c r="I37" s="91"/>
      <c r="J37" s="113"/>
      <c r="K37" s="113"/>
      <c r="L37" s="91" t="s">
        <v>238</v>
      </c>
      <c r="M37" s="113"/>
      <c r="N37" s="113"/>
      <c r="O37" s="113"/>
      <c r="P37" s="113"/>
    </row>
    <row r="38" spans="1:16" x14ac:dyDescent="0.2">
      <c r="A38" s="116" t="s">
        <v>222</v>
      </c>
      <c r="B38" s="116"/>
      <c r="C38" s="116"/>
      <c r="D38" s="116"/>
      <c r="E38" s="116"/>
      <c r="F38" s="116"/>
      <c r="G38" s="116"/>
      <c r="H38" s="116"/>
      <c r="I38" s="116"/>
      <c r="J38" s="90"/>
      <c r="K38" s="90"/>
      <c r="L38" s="116" t="s">
        <v>239</v>
      </c>
      <c r="M38" s="90"/>
      <c r="N38" s="90"/>
      <c r="O38" s="90"/>
      <c r="P38" s="90"/>
    </row>
    <row r="39" spans="1:16" x14ac:dyDescent="0.2">
      <c r="A39" s="116" t="s">
        <v>221</v>
      </c>
      <c r="B39" s="90"/>
      <c r="C39" s="90"/>
      <c r="D39" s="90"/>
      <c r="E39" s="90"/>
      <c r="F39" s="90"/>
      <c r="G39" s="90"/>
      <c r="H39" s="90"/>
      <c r="I39" s="90"/>
      <c r="J39" s="116"/>
      <c r="K39" s="90"/>
      <c r="L39" s="116" t="s">
        <v>240</v>
      </c>
      <c r="M39" s="90"/>
      <c r="N39" s="90"/>
      <c r="O39" s="90"/>
      <c r="P39" s="90"/>
    </row>
    <row r="40" spans="1:16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90"/>
      <c r="L40" s="116" t="s">
        <v>241</v>
      </c>
      <c r="M40" s="90"/>
      <c r="N40" s="90"/>
      <c r="O40" s="90"/>
      <c r="P40" s="90"/>
    </row>
    <row r="41" spans="1:16" x14ac:dyDescent="0.2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90"/>
      <c r="L41" s="116" t="s">
        <v>242</v>
      </c>
      <c r="M41" s="90"/>
      <c r="N41" s="90"/>
      <c r="O41" s="90"/>
      <c r="P41" s="90"/>
    </row>
    <row r="42" spans="1:16" x14ac:dyDescent="0.2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</row>
    <row r="44" spans="1:16" x14ac:dyDescent="0.2">
      <c r="A44" s="63"/>
      <c r="B44" s="1569" t="s">
        <v>199</v>
      </c>
      <c r="C44" s="1569"/>
      <c r="D44" s="1569"/>
      <c r="E44" s="1569"/>
      <c r="F44" s="1569"/>
    </row>
    <row r="45" spans="1:16" ht="15" thickBot="1" x14ac:dyDescent="0.25">
      <c r="A45" s="63"/>
      <c r="B45" s="64"/>
      <c r="C45" s="65"/>
      <c r="D45" s="63"/>
      <c r="E45" s="13"/>
      <c r="F45" s="13"/>
    </row>
    <row r="46" spans="1:16" x14ac:dyDescent="0.2">
      <c r="A46" s="63"/>
      <c r="B46" s="66" t="s">
        <v>200</v>
      </c>
      <c r="C46" s="66" t="s">
        <v>204</v>
      </c>
      <c r="D46" s="66" t="s">
        <v>203</v>
      </c>
      <c r="E46" s="66" t="s">
        <v>202</v>
      </c>
      <c r="F46" s="66" t="s">
        <v>201</v>
      </c>
    </row>
    <row r="47" spans="1:16" ht="15" thickBot="1" x14ac:dyDescent="0.25">
      <c r="A47" s="63"/>
      <c r="B47" s="67"/>
      <c r="C47" s="67"/>
      <c r="D47" s="67"/>
      <c r="E47" s="67"/>
      <c r="F47" s="67"/>
    </row>
    <row r="48" spans="1:16" x14ac:dyDescent="0.2">
      <c r="A48" s="1570" t="s">
        <v>224</v>
      </c>
      <c r="B48" s="132">
        <v>0.78</v>
      </c>
      <c r="C48" s="132">
        <v>1</v>
      </c>
      <c r="D48" s="132">
        <v>1.36</v>
      </c>
      <c r="E48" s="132">
        <v>1.74</v>
      </c>
      <c r="F48" s="133">
        <v>1.91</v>
      </c>
    </row>
    <row r="49" spans="1:10" ht="15" thickBot="1" x14ac:dyDescent="0.25">
      <c r="A49" s="1571"/>
      <c r="B49" s="68"/>
      <c r="C49" s="86">
        <f>C48/B48-1</f>
        <v>0.28205128205128194</v>
      </c>
      <c r="D49" s="86">
        <f>D48/C48-1</f>
        <v>0.3600000000000001</v>
      </c>
      <c r="E49" s="86">
        <f>E48/D48-1</f>
        <v>0.27941176470588225</v>
      </c>
      <c r="F49" s="87">
        <f>F48/E48-1</f>
        <v>9.7701149425287293E-2</v>
      </c>
    </row>
    <row r="50" spans="1:10" ht="15" thickBot="1" x14ac:dyDescent="0.25">
      <c r="A50" s="14"/>
      <c r="B50" s="69"/>
      <c r="C50" s="69"/>
      <c r="D50" s="69"/>
      <c r="E50" s="69"/>
      <c r="F50" s="69"/>
    </row>
    <row r="51" spans="1:10" x14ac:dyDescent="0.2">
      <c r="A51" s="1572" t="s">
        <v>210</v>
      </c>
      <c r="B51" s="70">
        <v>125</v>
      </c>
      <c r="C51" s="70">
        <v>770</v>
      </c>
      <c r="D51" s="70">
        <v>1262</v>
      </c>
      <c r="E51" s="70">
        <v>1775</v>
      </c>
      <c r="F51" s="71">
        <v>2005</v>
      </c>
    </row>
    <row r="52" spans="1:10" x14ac:dyDescent="0.2">
      <c r="A52" s="1573"/>
      <c r="B52" s="72"/>
      <c r="C52" s="73">
        <v>1</v>
      </c>
      <c r="D52" s="74">
        <f>D51/C51</f>
        <v>1.638961038961039</v>
      </c>
      <c r="E52" s="74">
        <f>E51/C51</f>
        <v>2.3051948051948052</v>
      </c>
      <c r="F52" s="75">
        <f>F51/C51</f>
        <v>2.6038961038961039</v>
      </c>
    </row>
    <row r="53" spans="1:10" ht="15" thickBot="1" x14ac:dyDescent="0.25">
      <c r="A53" s="1574"/>
      <c r="B53" s="76"/>
      <c r="C53" s="77"/>
      <c r="D53" s="84">
        <f>D51/C51-1</f>
        <v>0.63896103896103895</v>
      </c>
      <c r="E53" s="84">
        <f t="shared" ref="E53:F53" si="6">E51/D51-1</f>
        <v>0.40649762282091917</v>
      </c>
      <c r="F53" s="85">
        <f t="shared" si="6"/>
        <v>0.12957746478873244</v>
      </c>
    </row>
    <row r="54" spans="1:10" ht="15" thickBot="1" x14ac:dyDescent="0.25">
      <c r="A54" s="13"/>
      <c r="B54" s="78"/>
      <c r="C54" s="78"/>
      <c r="D54" s="78"/>
      <c r="E54" s="78"/>
      <c r="F54" s="78"/>
    </row>
    <row r="55" spans="1:10" x14ac:dyDescent="0.2">
      <c r="A55" s="1575" t="s">
        <v>209</v>
      </c>
      <c r="B55" s="79">
        <v>0.78</v>
      </c>
      <c r="C55" s="79">
        <v>1</v>
      </c>
      <c r="D55" s="79">
        <v>1.2</v>
      </c>
      <c r="E55" s="79">
        <v>1.4</v>
      </c>
      <c r="F55" s="80">
        <v>1.5</v>
      </c>
    </row>
    <row r="56" spans="1:10" ht="15" thickBot="1" x14ac:dyDescent="0.25">
      <c r="A56" s="1576"/>
      <c r="B56" s="81"/>
      <c r="C56" s="82">
        <f>C55/B55-1</f>
        <v>0.28205128205128194</v>
      </c>
      <c r="D56" s="82">
        <f t="shared" ref="D56" si="7">D55/C55-1</f>
        <v>0.19999999999999996</v>
      </c>
      <c r="E56" s="82">
        <f>E55/D55-1</f>
        <v>0.16666666666666674</v>
      </c>
      <c r="F56" s="83">
        <f>F55/E55-1</f>
        <v>7.1428571428571397E-2</v>
      </c>
    </row>
    <row r="59" spans="1:10" x14ac:dyDescent="0.2">
      <c r="A59" s="135" t="s">
        <v>307</v>
      </c>
      <c r="B59" s="10"/>
      <c r="C59" s="10"/>
      <c r="D59" s="10"/>
      <c r="E59" s="10"/>
      <c r="F59" s="129"/>
      <c r="J59" s="126" t="s">
        <v>314</v>
      </c>
    </row>
    <row r="60" spans="1:10" x14ac:dyDescent="0.2">
      <c r="A60" s="9"/>
      <c r="F60" s="8"/>
    </row>
    <row r="61" spans="1:10" ht="15" thickBot="1" x14ac:dyDescent="0.25">
      <c r="A61" s="136" t="s">
        <v>308</v>
      </c>
      <c r="B61" s="130" t="s">
        <v>309</v>
      </c>
      <c r="C61" s="130" t="s">
        <v>310</v>
      </c>
      <c r="D61" s="137" t="s">
        <v>311</v>
      </c>
      <c r="E61" s="138"/>
      <c r="F61" s="8"/>
    </row>
    <row r="62" spans="1:10" ht="15" thickBot="1" x14ac:dyDescent="0.25">
      <c r="A62" s="134">
        <v>1</v>
      </c>
      <c r="B62" s="134">
        <v>40</v>
      </c>
      <c r="C62" s="139">
        <v>0.75</v>
      </c>
      <c r="D62" s="140">
        <f>IF('B2_Allgemeine Angaben'!L47&lt;A63,C62,IF('B2_Allgemeine Angaben'!L47&lt;A64,C63,IF('B2_Allgemeine Angaben'!L47&lt;A65,C64,C65)))</f>
        <v>0.75</v>
      </c>
      <c r="E62" s="141"/>
      <c r="F62" s="8"/>
    </row>
    <row r="63" spans="1:10" x14ac:dyDescent="0.2">
      <c r="A63" s="134">
        <v>41</v>
      </c>
      <c r="B63" s="134">
        <v>80</v>
      </c>
      <c r="C63" s="142">
        <v>1</v>
      </c>
      <c r="F63" s="8"/>
    </row>
    <row r="64" spans="1:10" x14ac:dyDescent="0.2">
      <c r="A64" s="134">
        <v>81</v>
      </c>
      <c r="B64" s="134">
        <v>150</v>
      </c>
      <c r="C64" s="142">
        <v>1.25</v>
      </c>
      <c r="F64" s="8"/>
    </row>
    <row r="65" spans="1:8" x14ac:dyDescent="0.2">
      <c r="A65" s="134">
        <v>151</v>
      </c>
      <c r="B65" s="134" t="s">
        <v>312</v>
      </c>
      <c r="C65" s="142">
        <v>2</v>
      </c>
      <c r="F65" s="8"/>
    </row>
    <row r="66" spans="1:8" x14ac:dyDescent="0.2">
      <c r="A66" s="143"/>
      <c r="B66" s="54"/>
      <c r="C66" s="54"/>
      <c r="D66" s="54"/>
      <c r="E66" s="54"/>
      <c r="F66" s="144"/>
    </row>
    <row r="68" spans="1:8" ht="71.25" x14ac:dyDescent="0.2">
      <c r="A68" s="145"/>
      <c r="B68" s="145" t="s">
        <v>315</v>
      </c>
      <c r="C68" s="145" t="s">
        <v>316</v>
      </c>
      <c r="D68" s="145" t="s">
        <v>317</v>
      </c>
      <c r="E68" s="146" t="s">
        <v>318</v>
      </c>
      <c r="F68" s="145" t="s">
        <v>319</v>
      </c>
    </row>
    <row r="69" spans="1:8" x14ac:dyDescent="0.2">
      <c r="A69" s="147" t="s">
        <v>57</v>
      </c>
      <c r="B69" s="148">
        <f>B2_Kalkulation!H14</f>
        <v>0</v>
      </c>
      <c r="C69" s="149">
        <f>B2_Kalkulation!I20</f>
        <v>0</v>
      </c>
      <c r="D69" s="134" t="e">
        <f>B69/C69</f>
        <v>#DIV/0!</v>
      </c>
      <c r="E69" s="150" t="e">
        <f>D69/$D$74</f>
        <v>#DIV/0!</v>
      </c>
      <c r="F69" s="134" t="e">
        <f>E69*$F$76</f>
        <v>#DIV/0!</v>
      </c>
    </row>
    <row r="70" spans="1:8" x14ac:dyDescent="0.2">
      <c r="A70" s="147" t="s">
        <v>58</v>
      </c>
      <c r="B70" s="148">
        <f>B2_Kalkulation!I14</f>
        <v>0</v>
      </c>
      <c r="C70" s="149">
        <f>B2_Kalkulation!I21</f>
        <v>0</v>
      </c>
      <c r="D70" s="134" t="e">
        <f t="shared" ref="D70:D73" si="8">B70/C70</f>
        <v>#DIV/0!</v>
      </c>
      <c r="E70" s="150" t="e">
        <f t="shared" ref="E70:E73" si="9">D70/$D$74</f>
        <v>#DIV/0!</v>
      </c>
      <c r="F70" s="134" t="e">
        <f t="shared" ref="F70:F73" si="10">E70*$F$76</f>
        <v>#DIV/0!</v>
      </c>
    </row>
    <row r="71" spans="1:8" x14ac:dyDescent="0.2">
      <c r="A71" s="147" t="s">
        <v>59</v>
      </c>
      <c r="B71" s="148">
        <f>B2_Kalkulation!J14</f>
        <v>0</v>
      </c>
      <c r="C71" s="149">
        <f>B2_Kalkulation!I22</f>
        <v>0</v>
      </c>
      <c r="D71" s="134" t="e">
        <f t="shared" si="8"/>
        <v>#DIV/0!</v>
      </c>
      <c r="E71" s="150" t="e">
        <f t="shared" si="9"/>
        <v>#DIV/0!</v>
      </c>
      <c r="F71" s="134" t="e">
        <f t="shared" si="10"/>
        <v>#DIV/0!</v>
      </c>
    </row>
    <row r="72" spans="1:8" x14ac:dyDescent="0.2">
      <c r="A72" s="147" t="s">
        <v>60</v>
      </c>
      <c r="B72" s="148">
        <f>B2_Kalkulation!K14</f>
        <v>0</v>
      </c>
      <c r="C72" s="149">
        <f>B2_Kalkulation!I23</f>
        <v>0</v>
      </c>
      <c r="D72" s="134" t="e">
        <f t="shared" si="8"/>
        <v>#DIV/0!</v>
      </c>
      <c r="E72" s="150" t="e">
        <f t="shared" si="9"/>
        <v>#DIV/0!</v>
      </c>
      <c r="F72" s="134" t="e">
        <f t="shared" si="10"/>
        <v>#DIV/0!</v>
      </c>
    </row>
    <row r="73" spans="1:8" ht="15" thickBot="1" x14ac:dyDescent="0.25">
      <c r="A73" s="151" t="s">
        <v>61</v>
      </c>
      <c r="B73" s="152">
        <f>B2_Kalkulation!L14</f>
        <v>0</v>
      </c>
      <c r="C73" s="153">
        <f>B2_Kalkulation!I24</f>
        <v>0</v>
      </c>
      <c r="D73" s="154" t="e">
        <f t="shared" si="8"/>
        <v>#DIV/0!</v>
      </c>
      <c r="E73" s="155" t="e">
        <f t="shared" si="9"/>
        <v>#DIV/0!</v>
      </c>
      <c r="F73" s="134" t="e">
        <f t="shared" si="10"/>
        <v>#DIV/0!</v>
      </c>
    </row>
    <row r="74" spans="1:8" x14ac:dyDescent="0.2">
      <c r="A74" s="156" t="s">
        <v>320</v>
      </c>
      <c r="B74" s="157">
        <f>SUM(B69:B73)</f>
        <v>0</v>
      </c>
      <c r="C74" s="158"/>
      <c r="D74" s="158" t="e">
        <f>SUM(D69:D73)</f>
        <v>#DIV/0!</v>
      </c>
      <c r="E74" s="159">
        <v>1</v>
      </c>
      <c r="F74" s="160" t="e">
        <f>SUM(F69:F73)</f>
        <v>#DIV/0!</v>
      </c>
    </row>
    <row r="75" spans="1:8" x14ac:dyDescent="0.2">
      <c r="A75" s="147" t="s">
        <v>321</v>
      </c>
      <c r="B75" s="130"/>
      <c r="C75" s="130"/>
      <c r="D75" s="165">
        <f>D62</f>
        <v>0.75</v>
      </c>
      <c r="E75" s="161"/>
      <c r="F75" s="162"/>
    </row>
    <row r="76" spans="1:8" ht="29.25" thickBot="1" x14ac:dyDescent="0.25">
      <c r="A76" s="166" t="s">
        <v>322</v>
      </c>
      <c r="B76" s="163"/>
      <c r="C76" s="163"/>
      <c r="D76" s="164" t="e">
        <f>SUM(D74:D75)</f>
        <v>#DIV/0!</v>
      </c>
      <c r="E76" s="163"/>
      <c r="F76" s="164" t="e">
        <f>D76*B2_Kalkulation!L26</f>
        <v>#DIV/0!</v>
      </c>
    </row>
    <row r="77" spans="1:8" ht="15" thickTop="1" x14ac:dyDescent="0.2">
      <c r="A77" s="280"/>
    </row>
    <row r="78" spans="1:8" ht="15" customHeight="1" thickBot="1" x14ac:dyDescent="0.25">
      <c r="A78" s="1568" t="s">
        <v>334</v>
      </c>
      <c r="B78" s="1568"/>
      <c r="C78" s="1568"/>
      <c r="D78" s="1568"/>
      <c r="E78" s="1568"/>
      <c r="F78" s="1568"/>
      <c r="G78" s="1568"/>
      <c r="H78" s="1568"/>
    </row>
    <row r="79" spans="1:8" x14ac:dyDescent="0.2">
      <c r="A79" s="246"/>
      <c r="B79" s="1577" t="s">
        <v>325</v>
      </c>
      <c r="C79" s="1578"/>
      <c r="D79" s="1578"/>
      <c r="E79" s="1579"/>
      <c r="F79" s="1577" t="s">
        <v>326</v>
      </c>
      <c r="G79" s="1580"/>
      <c r="H79" s="1564" t="s">
        <v>327</v>
      </c>
    </row>
    <row r="80" spans="1:8" ht="71.25" x14ac:dyDescent="0.2">
      <c r="A80" s="247"/>
      <c r="B80" s="248" t="s">
        <v>315</v>
      </c>
      <c r="C80" s="249" t="s">
        <v>328</v>
      </c>
      <c r="D80" s="250" t="s">
        <v>329</v>
      </c>
      <c r="E80" s="251" t="s">
        <v>330</v>
      </c>
      <c r="F80" s="248" t="s">
        <v>329</v>
      </c>
      <c r="G80" s="252" t="s">
        <v>331</v>
      </c>
      <c r="H80" s="1565"/>
    </row>
    <row r="81" spans="1:8" x14ac:dyDescent="0.2">
      <c r="A81" s="253" t="s">
        <v>57</v>
      </c>
      <c r="B81" s="254">
        <f>B2_Kalkulation!H14</f>
        <v>0</v>
      </c>
      <c r="C81" s="255">
        <f>B2_Kalkulation!I20</f>
        <v>0</v>
      </c>
      <c r="D81" s="256">
        <f>IFERROR(B81/C81,0)</f>
        <v>0</v>
      </c>
      <c r="E81" s="257">
        <f>IFERROR(D81/$D$86,0)</f>
        <v>0</v>
      </c>
      <c r="F81" s="258">
        <f>IFERROR($D$88*E81,0)</f>
        <v>0</v>
      </c>
      <c r="G81" s="259">
        <f>IF(F81=0,C81,B81/F81)</f>
        <v>0</v>
      </c>
      <c r="H81" s="260" t="e">
        <f>ROUND(B81/G81,3)</f>
        <v>#DIV/0!</v>
      </c>
    </row>
    <row r="82" spans="1:8" x14ac:dyDescent="0.2">
      <c r="A82" s="253" t="s">
        <v>58</v>
      </c>
      <c r="B82" s="254">
        <f>B2_Kalkulation!I14</f>
        <v>0</v>
      </c>
      <c r="C82" s="255">
        <f>B2_Kalkulation!I21</f>
        <v>0</v>
      </c>
      <c r="D82" s="256">
        <f t="shared" ref="D82:D85" si="11">IFERROR(B82/C82,0)</f>
        <v>0</v>
      </c>
      <c r="E82" s="257">
        <f t="shared" ref="E82:E85" si="12">IFERROR(D82/$D$86,0)</f>
        <v>0</v>
      </c>
      <c r="F82" s="258">
        <f t="shared" ref="F82:F85" si="13">IFERROR($D$88*E82,0)</f>
        <v>0</v>
      </c>
      <c r="G82" s="259">
        <f>IFERROR(B82/F82,0)</f>
        <v>0</v>
      </c>
      <c r="H82" s="260" t="e">
        <f t="shared" ref="H82:H85" si="14">ROUND(B82/G82,3)</f>
        <v>#DIV/0!</v>
      </c>
    </row>
    <row r="83" spans="1:8" x14ac:dyDescent="0.2">
      <c r="A83" s="253" t="s">
        <v>59</v>
      </c>
      <c r="B83" s="254">
        <f>B2_Kalkulation!J14</f>
        <v>0</v>
      </c>
      <c r="C83" s="255">
        <f>B2_Kalkulation!I22</f>
        <v>0</v>
      </c>
      <c r="D83" s="256">
        <f t="shared" si="11"/>
        <v>0</v>
      </c>
      <c r="E83" s="257">
        <f t="shared" si="12"/>
        <v>0</v>
      </c>
      <c r="F83" s="258">
        <f t="shared" si="13"/>
        <v>0</v>
      </c>
      <c r="G83" s="259">
        <f t="shared" ref="G83:G84" si="15">IFERROR(B83/F83,0)</f>
        <v>0</v>
      </c>
      <c r="H83" s="260" t="e">
        <f t="shared" si="14"/>
        <v>#DIV/0!</v>
      </c>
    </row>
    <row r="84" spans="1:8" x14ac:dyDescent="0.2">
      <c r="A84" s="253" t="s">
        <v>60</v>
      </c>
      <c r="B84" s="254">
        <f>B2_Kalkulation!K14</f>
        <v>0</v>
      </c>
      <c r="C84" s="255">
        <f>B2_Kalkulation!I23</f>
        <v>0</v>
      </c>
      <c r="D84" s="256">
        <f t="shared" si="11"/>
        <v>0</v>
      </c>
      <c r="E84" s="257">
        <f t="shared" si="12"/>
        <v>0</v>
      </c>
      <c r="F84" s="258">
        <f t="shared" si="13"/>
        <v>0</v>
      </c>
      <c r="G84" s="259">
        <f t="shared" si="15"/>
        <v>0</v>
      </c>
      <c r="H84" s="260" t="e">
        <f t="shared" si="14"/>
        <v>#DIV/0!</v>
      </c>
    </row>
    <row r="85" spans="1:8" x14ac:dyDescent="0.2">
      <c r="A85" s="253" t="s">
        <v>61</v>
      </c>
      <c r="B85" s="261">
        <f>B2_Kalkulation!L14</f>
        <v>0</v>
      </c>
      <c r="C85" s="255">
        <f>B2_Kalkulation!I24</f>
        <v>0</v>
      </c>
      <c r="D85" s="262">
        <f t="shared" si="11"/>
        <v>0</v>
      </c>
      <c r="E85" s="257">
        <f t="shared" si="12"/>
        <v>0</v>
      </c>
      <c r="F85" s="258">
        <f t="shared" si="13"/>
        <v>0</v>
      </c>
      <c r="G85" s="259">
        <f>IF(F85=0,C85,B85/F85)</f>
        <v>0</v>
      </c>
      <c r="H85" s="260" t="e">
        <f t="shared" si="14"/>
        <v>#DIV/0!</v>
      </c>
    </row>
    <row r="86" spans="1:8" ht="15" thickBot="1" x14ac:dyDescent="0.25">
      <c r="A86" s="263" t="s">
        <v>320</v>
      </c>
      <c r="B86" s="264"/>
      <c r="C86" s="265"/>
      <c r="D86" s="266">
        <f>SUM(D81:D85)</f>
        <v>0</v>
      </c>
      <c r="E86" s="267">
        <f>SUM(E81:E85)</f>
        <v>0</v>
      </c>
      <c r="F86" s="268"/>
      <c r="G86" s="210"/>
      <c r="H86" s="269"/>
    </row>
    <row r="87" spans="1:8" ht="15" thickTop="1" x14ac:dyDescent="0.2">
      <c r="A87" s="270"/>
      <c r="B87" s="1566" t="s">
        <v>332</v>
      </c>
      <c r="C87" s="1567"/>
      <c r="D87" s="271" t="str">
        <f>B2_Kalkulation!J25</f>
        <v/>
      </c>
      <c r="F87" s="272"/>
      <c r="G87" s="210"/>
      <c r="H87" s="269"/>
    </row>
    <row r="88" spans="1:8" ht="15" thickBot="1" x14ac:dyDescent="0.25">
      <c r="A88" s="273" t="s">
        <v>333</v>
      </c>
      <c r="B88" s="274">
        <f>SUM(B81:B85)</f>
        <v>0</v>
      </c>
      <c r="C88" s="275"/>
      <c r="D88" s="276">
        <f>SUM(D86:D87)</f>
        <v>0</v>
      </c>
      <c r="E88" s="277"/>
      <c r="F88" s="278">
        <f>SUM(F81:F87)</f>
        <v>0</v>
      </c>
      <c r="G88" s="277"/>
      <c r="H88" s="279" t="e">
        <f>SUM(H81:H87)</f>
        <v>#DIV/0!</v>
      </c>
    </row>
    <row r="89" spans="1:8" ht="15" thickTop="1" x14ac:dyDescent="0.2"/>
    <row r="90" spans="1:8" x14ac:dyDescent="0.2">
      <c r="A90" s="295" t="s">
        <v>337</v>
      </c>
      <c r="F90" s="296"/>
    </row>
    <row r="91" spans="1:8" x14ac:dyDescent="0.2">
      <c r="A91" s="296"/>
    </row>
    <row r="92" spans="1:8" x14ac:dyDescent="0.2">
      <c r="A92" s="296" t="s">
        <v>10</v>
      </c>
      <c r="E92" s="210"/>
      <c r="F92" s="210"/>
    </row>
    <row r="93" spans="1:8" x14ac:dyDescent="0.2">
      <c r="A93" s="296" t="s">
        <v>338</v>
      </c>
      <c r="E93" s="389"/>
      <c r="F93" s="210"/>
    </row>
    <row r="94" spans="1:8" x14ac:dyDescent="0.2">
      <c r="A94" s="296" t="s">
        <v>339</v>
      </c>
      <c r="E94" s="389"/>
      <c r="F94" s="210"/>
    </row>
    <row r="95" spans="1:8" x14ac:dyDescent="0.2">
      <c r="A95" s="296" t="s">
        <v>340</v>
      </c>
    </row>
    <row r="96" spans="1:8" x14ac:dyDescent="0.2">
      <c r="A96" s="296" t="s">
        <v>341</v>
      </c>
      <c r="E96" s="375"/>
    </row>
    <row r="97" spans="1:23" x14ac:dyDescent="0.2">
      <c r="A97" s="296"/>
      <c r="E97" s="210"/>
    </row>
    <row r="98" spans="1:23" x14ac:dyDescent="0.2">
      <c r="A98" s="294"/>
      <c r="E98" s="210"/>
    </row>
    <row r="99" spans="1:23" x14ac:dyDescent="0.2">
      <c r="A99" s="294"/>
      <c r="E99" s="210"/>
      <c r="P99" s="186" t="s">
        <v>1283</v>
      </c>
      <c r="Q99" s="1394"/>
      <c r="R99" s="1394"/>
      <c r="S99" s="1394"/>
      <c r="T99" s="1394"/>
      <c r="U99" s="1394"/>
      <c r="V99" s="1394"/>
      <c r="W99" s="229"/>
    </row>
    <row r="100" spans="1:23" ht="42.75" x14ac:dyDescent="0.2">
      <c r="A100" s="294"/>
      <c r="P100" s="1388" t="s">
        <v>1284</v>
      </c>
      <c r="Q100" s="1387" t="s">
        <v>1285</v>
      </c>
      <c r="R100" s="1387" t="s">
        <v>1286</v>
      </c>
      <c r="S100" s="1388" t="s">
        <v>1287</v>
      </c>
      <c r="T100" s="1387" t="s">
        <v>1288</v>
      </c>
      <c r="U100" s="1387" t="s">
        <v>866</v>
      </c>
      <c r="V100" s="130"/>
      <c r="W100" s="138"/>
    </row>
    <row r="101" spans="1:23" ht="15" thickBot="1" x14ac:dyDescent="0.25">
      <c r="P101" s="1390">
        <f>IF(B2_Kalkulation!K19="Beförderung intern (Preis):",1,0)</f>
        <v>0</v>
      </c>
      <c r="Q101" s="1386">
        <f>B2_Kalkulation!F19*(100%+B2_Kalkulation!M19)</f>
        <v>0</v>
      </c>
      <c r="R101" s="1390">
        <f>IF(Q101&gt;L108,L108,Q101)</f>
        <v>0</v>
      </c>
      <c r="S101" s="1393">
        <f>IF(Q101&gt;L108,1,0)</f>
        <v>0</v>
      </c>
      <c r="T101" s="9" t="s">
        <v>1291</v>
      </c>
      <c r="U101" s="9" t="s">
        <v>1293</v>
      </c>
    </row>
    <row r="102" spans="1:23" ht="29.25" customHeight="1" thickBot="1" x14ac:dyDescent="0.3">
      <c r="A102" s="384" t="s">
        <v>463</v>
      </c>
      <c r="B102" s="1592" t="s">
        <v>1262</v>
      </c>
      <c r="C102" s="1593"/>
      <c r="D102" s="1594"/>
      <c r="E102" s="392" t="s">
        <v>483</v>
      </c>
      <c r="F102" s="390"/>
      <c r="G102" s="692" t="s">
        <v>849</v>
      </c>
      <c r="I102" s="1588" t="s">
        <v>491</v>
      </c>
      <c r="J102" s="1588"/>
      <c r="K102" s="1588"/>
      <c r="L102" s="1588"/>
      <c r="M102" s="309" t="s">
        <v>569</v>
      </c>
      <c r="O102" s="33"/>
      <c r="P102" s="1390">
        <f>IF(B2_Kalkulation!K19="Beförderung extern (Preis):",2,0)</f>
        <v>0</v>
      </c>
      <c r="Q102" s="1386">
        <f>B2_Kalkulation!F19*(100%+B2_Kalkulation!M19)</f>
        <v>0</v>
      </c>
      <c r="R102" s="1390">
        <f>IF(Q102&gt;L109,L109,Q102)</f>
        <v>0</v>
      </c>
      <c r="S102" s="1393">
        <f>IF(Q102&gt;L109,2,0)</f>
        <v>0</v>
      </c>
      <c r="T102" s="9" t="s">
        <v>1292</v>
      </c>
      <c r="U102" s="9" t="s">
        <v>1294</v>
      </c>
    </row>
    <row r="103" spans="1:23" ht="15.75" thickBot="1" x14ac:dyDescent="0.3">
      <c r="A103" s="385" t="s">
        <v>464</v>
      </c>
      <c r="B103" s="386" t="s">
        <v>465</v>
      </c>
      <c r="C103" s="387" t="s">
        <v>466</v>
      </c>
      <c r="D103" s="388" t="s">
        <v>467</v>
      </c>
      <c r="G103" s="387" t="s">
        <v>466</v>
      </c>
      <c r="I103" s="1582" t="s">
        <v>492</v>
      </c>
      <c r="J103" s="1582"/>
      <c r="K103" s="527" t="s">
        <v>496</v>
      </c>
      <c r="L103" s="525">
        <v>0.05</v>
      </c>
      <c r="O103" s="515"/>
      <c r="P103" s="1391">
        <f>SUM(P101:P102)</f>
        <v>0</v>
      </c>
      <c r="Q103" s="1421"/>
      <c r="R103" s="1391" t="str">
        <f>IF(P103=1,R101,IF(P103=2,R102,""))</f>
        <v/>
      </c>
      <c r="S103" s="1420"/>
      <c r="T103" s="1395" t="str">
        <f>IF(P101+S101=2,T101,IF(P102+S102=4,T102,""))</f>
        <v/>
      </c>
      <c r="U103" s="1584" t="s">
        <v>1295</v>
      </c>
      <c r="V103" s="1585"/>
      <c r="W103" s="1585"/>
    </row>
    <row r="104" spans="1:23" ht="15.75" thickTop="1" thickBot="1" x14ac:dyDescent="0.25">
      <c r="A104" s="476" t="s">
        <v>468</v>
      </c>
      <c r="B104" s="1376">
        <f>16.4+0.8</f>
        <v>17.2</v>
      </c>
      <c r="C104" s="481">
        <f>B104/2</f>
        <v>8.6</v>
      </c>
      <c r="D104" s="472">
        <f>B104/2</f>
        <v>8.6</v>
      </c>
      <c r="E104" s="473" t="s">
        <v>482</v>
      </c>
      <c r="F104" s="474"/>
      <c r="G104" s="475">
        <v>13</v>
      </c>
      <c r="I104" s="1582" t="s">
        <v>62</v>
      </c>
      <c r="J104" s="1582"/>
      <c r="K104" s="528" t="s">
        <v>496</v>
      </c>
      <c r="L104" s="525">
        <v>0.05</v>
      </c>
      <c r="M104" s="514"/>
      <c r="O104" s="516"/>
      <c r="P104" s="1392"/>
      <c r="Q104" s="1389"/>
      <c r="R104" s="1389"/>
      <c r="S104" s="1389"/>
      <c r="T104" s="1389"/>
      <c r="U104" s="1586"/>
      <c r="V104" s="1587"/>
      <c r="W104" s="1587"/>
    </row>
    <row r="105" spans="1:23" ht="15" thickTop="1" x14ac:dyDescent="0.2">
      <c r="A105" s="479" t="s">
        <v>469</v>
      </c>
      <c r="B105" s="480">
        <f>C105*2</f>
        <v>18.600000000000001</v>
      </c>
      <c r="C105" s="481">
        <v>9.3000000000000007</v>
      </c>
      <c r="D105" s="494">
        <f>B105/2</f>
        <v>9.3000000000000007</v>
      </c>
      <c r="E105" s="495" t="s">
        <v>481</v>
      </c>
      <c r="F105" s="496"/>
      <c r="G105" s="497">
        <v>15</v>
      </c>
      <c r="I105" s="1582" t="s">
        <v>32</v>
      </c>
      <c r="J105" s="1582"/>
      <c r="K105" s="528" t="s">
        <v>496</v>
      </c>
      <c r="L105" s="525">
        <v>0.05</v>
      </c>
      <c r="M105" s="514"/>
      <c r="O105" s="516"/>
    </row>
    <row r="106" spans="1:23" x14ac:dyDescent="0.2">
      <c r="A106" s="479" t="s">
        <v>470</v>
      </c>
      <c r="B106" s="480">
        <f>C106*2</f>
        <v>2.6</v>
      </c>
      <c r="C106" s="481">
        <v>1.3</v>
      </c>
      <c r="D106" s="494">
        <f>B106/2</f>
        <v>1.3</v>
      </c>
      <c r="E106" s="479"/>
      <c r="F106" s="498"/>
      <c r="G106" s="497"/>
      <c r="I106" s="1582" t="s">
        <v>33</v>
      </c>
      <c r="J106" s="1582"/>
      <c r="K106" s="528" t="s">
        <v>496</v>
      </c>
      <c r="L106" s="525">
        <v>0.05</v>
      </c>
      <c r="M106" s="514"/>
      <c r="O106" s="516"/>
    </row>
    <row r="107" spans="1:23" ht="15" thickBot="1" x14ac:dyDescent="0.25">
      <c r="A107" s="479" t="s">
        <v>471</v>
      </c>
      <c r="B107" s="642">
        <f>3.4+0.2</f>
        <v>3.6</v>
      </c>
      <c r="C107" s="643">
        <f>1.2+0.1</f>
        <v>1.3</v>
      </c>
      <c r="D107" s="644">
        <f>0.1+2.2</f>
        <v>2.3000000000000003</v>
      </c>
      <c r="E107" s="500"/>
      <c r="F107" s="496"/>
      <c r="G107" s="501"/>
      <c r="I107" s="1582" t="s">
        <v>493</v>
      </c>
      <c r="J107" s="1582"/>
      <c r="K107" s="528" t="s">
        <v>496</v>
      </c>
      <c r="L107" s="526">
        <v>0.05</v>
      </c>
      <c r="O107" s="516"/>
    </row>
    <row r="108" spans="1:23" ht="15" thickBot="1" x14ac:dyDescent="0.25">
      <c r="A108" s="483" t="s">
        <v>472</v>
      </c>
      <c r="B108" s="484"/>
      <c r="C108" s="485">
        <f>(C107+C106+C105+C104)</f>
        <v>20.5</v>
      </c>
      <c r="D108" s="502"/>
      <c r="E108" s="503" t="s">
        <v>472</v>
      </c>
      <c r="F108" s="504"/>
      <c r="G108" s="505">
        <f>SUM(G104:G107)</f>
        <v>28</v>
      </c>
      <c r="I108" s="1583" t="s">
        <v>1272</v>
      </c>
      <c r="J108" s="1583"/>
      <c r="K108" s="624" t="s">
        <v>496</v>
      </c>
      <c r="L108" s="1383">
        <v>18.5</v>
      </c>
      <c r="M108" s="309" t="s">
        <v>1275</v>
      </c>
      <c r="O108" s="516"/>
    </row>
    <row r="109" spans="1:23" x14ac:dyDescent="0.2">
      <c r="A109" s="486" t="s">
        <v>473</v>
      </c>
      <c r="B109" s="487" t="s">
        <v>474</v>
      </c>
      <c r="C109" s="645">
        <v>0.64</v>
      </c>
      <c r="D109" s="506"/>
      <c r="E109" s="486" t="s">
        <v>473</v>
      </c>
      <c r="F109" s="496"/>
      <c r="G109" s="501">
        <v>0.28999999999999998</v>
      </c>
      <c r="I109" s="1583" t="s">
        <v>1273</v>
      </c>
      <c r="J109" s="1583"/>
      <c r="K109" s="528" t="s">
        <v>496</v>
      </c>
      <c r="L109" s="1383">
        <v>21</v>
      </c>
      <c r="M109" s="309" t="s">
        <v>1276</v>
      </c>
      <c r="O109" s="516"/>
    </row>
    <row r="110" spans="1:23" ht="15" thickBot="1" x14ac:dyDescent="0.25">
      <c r="A110" s="486" t="s">
        <v>475</v>
      </c>
      <c r="B110" s="487" t="s">
        <v>476</v>
      </c>
      <c r="C110" s="489">
        <v>2.15</v>
      </c>
      <c r="D110" s="507"/>
      <c r="E110" s="486" t="s">
        <v>480</v>
      </c>
      <c r="F110" s="496"/>
      <c r="G110" s="501">
        <v>0.9</v>
      </c>
      <c r="I110" s="194" t="s">
        <v>1346</v>
      </c>
      <c r="O110" s="516"/>
    </row>
    <row r="111" spans="1:23" ht="15" thickBot="1" x14ac:dyDescent="0.25">
      <c r="A111" s="490" t="s">
        <v>477</v>
      </c>
      <c r="B111" s="491"/>
      <c r="C111" s="492">
        <v>0.06</v>
      </c>
      <c r="D111" s="507"/>
      <c r="E111" s="508" t="s">
        <v>477</v>
      </c>
      <c r="F111" s="509"/>
      <c r="G111" s="638">
        <v>0.06</v>
      </c>
      <c r="I111" s="1583" t="s">
        <v>494</v>
      </c>
      <c r="J111" s="1583"/>
      <c r="K111" s="528" t="s">
        <v>496</v>
      </c>
      <c r="L111" s="1384">
        <v>3.5000000000000003E-2</v>
      </c>
      <c r="M111" s="309" t="s">
        <v>1274</v>
      </c>
      <c r="O111" s="516"/>
    </row>
    <row r="112" spans="1:23" ht="15" thickBot="1" x14ac:dyDescent="0.25">
      <c r="A112" s="1595" t="s">
        <v>478</v>
      </c>
      <c r="B112" s="1596"/>
      <c r="C112" s="493">
        <f>(C108+C109+C111)</f>
        <v>21.2</v>
      </c>
      <c r="D112" s="507"/>
      <c r="E112" s="1595" t="s">
        <v>478</v>
      </c>
      <c r="F112" s="1597"/>
      <c r="G112" s="510">
        <f>(G108+G109+G111)</f>
        <v>28.349999999999998</v>
      </c>
      <c r="I112" s="1379" t="s">
        <v>495</v>
      </c>
      <c r="J112" s="1380"/>
      <c r="K112" s="528" t="s">
        <v>496</v>
      </c>
      <c r="L112" s="1385">
        <v>0.05</v>
      </c>
      <c r="M112" s="309" t="s">
        <v>1274</v>
      </c>
      <c r="N112" s="41"/>
      <c r="O112" s="518"/>
    </row>
    <row r="113" spans="1:15" ht="15" thickBot="1" x14ac:dyDescent="0.25">
      <c r="A113" s="1595" t="s">
        <v>479</v>
      </c>
      <c r="B113" s="1596"/>
      <c r="C113" s="493">
        <f>C112+C110</f>
        <v>23.349999999999998</v>
      </c>
      <c r="D113" s="511"/>
      <c r="E113" s="1595" t="s">
        <v>479</v>
      </c>
      <c r="F113" s="1597"/>
      <c r="G113" s="512">
        <f>G112+G110</f>
        <v>29.249999999999996</v>
      </c>
      <c r="I113" s="1581"/>
      <c r="J113" s="1581"/>
      <c r="K113" s="517"/>
      <c r="M113" s="1581"/>
      <c r="N113" s="1581"/>
      <c r="O113" s="518"/>
    </row>
    <row r="115" spans="1:15" ht="14.25" customHeight="1" thickBot="1" x14ac:dyDescent="0.25"/>
    <row r="116" spans="1:15" ht="42.75" customHeight="1" x14ac:dyDescent="0.25">
      <c r="A116" s="1589" t="s">
        <v>552</v>
      </c>
      <c r="B116" s="1590"/>
      <c r="C116" s="1591"/>
      <c r="D116" s="309" t="s">
        <v>570</v>
      </c>
      <c r="I116" s="1600" t="s">
        <v>509</v>
      </c>
      <c r="J116" s="1601"/>
      <c r="K116" s="1602"/>
      <c r="L116" s="309" t="s">
        <v>570</v>
      </c>
    </row>
    <row r="117" spans="1:15" x14ac:dyDescent="0.2">
      <c r="A117" s="529" t="s">
        <v>497</v>
      </c>
      <c r="B117" s="693">
        <v>12.82</v>
      </c>
      <c r="C117" s="530"/>
      <c r="I117" s="134" t="s">
        <v>515</v>
      </c>
      <c r="J117" s="134" t="s">
        <v>510</v>
      </c>
      <c r="K117" s="134" t="s">
        <v>511</v>
      </c>
      <c r="L117" s="309" t="s">
        <v>1379</v>
      </c>
    </row>
    <row r="118" spans="1:15" x14ac:dyDescent="0.2">
      <c r="A118" s="529" t="s">
        <v>498</v>
      </c>
      <c r="B118" s="531">
        <f>40*52</f>
        <v>2080</v>
      </c>
      <c r="C118" s="530" t="s">
        <v>499</v>
      </c>
      <c r="I118" s="134" t="s">
        <v>551</v>
      </c>
      <c r="J118" s="569">
        <v>0.02</v>
      </c>
      <c r="K118" s="569">
        <v>0.02</v>
      </c>
      <c r="L118" s="549"/>
    </row>
    <row r="119" spans="1:15" x14ac:dyDescent="0.2">
      <c r="A119" s="529" t="s">
        <v>500</v>
      </c>
      <c r="B119" s="532">
        <f>B118*B117</f>
        <v>26665.600000000002</v>
      </c>
      <c r="C119" s="530"/>
      <c r="I119" s="134" t="s">
        <v>512</v>
      </c>
      <c r="J119" s="1430">
        <v>5.1499999999999997E-2</v>
      </c>
      <c r="K119" s="569">
        <v>0.03</v>
      </c>
    </row>
    <row r="120" spans="1:15" x14ac:dyDescent="0.2">
      <c r="A120" s="529" t="s">
        <v>501</v>
      </c>
      <c r="B120" s="532">
        <f>B119*C120</f>
        <v>0</v>
      </c>
      <c r="C120" s="548">
        <f>B2_Personalkostenübersicht!$J$12/100</f>
        <v>0</v>
      </c>
      <c r="I120" s="134" t="s">
        <v>513</v>
      </c>
      <c r="J120" s="1430">
        <v>5.1499999999999997E-2</v>
      </c>
      <c r="K120" s="569">
        <v>0.03</v>
      </c>
    </row>
    <row r="121" spans="1:15" x14ac:dyDescent="0.2">
      <c r="A121" s="533" t="s">
        <v>502</v>
      </c>
      <c r="B121" s="534">
        <f>B119+B120</f>
        <v>26665.600000000002</v>
      </c>
      <c r="C121" s="535" t="s">
        <v>503</v>
      </c>
      <c r="I121" s="134" t="s">
        <v>514</v>
      </c>
      <c r="J121" s="1430">
        <v>4.1000000000000002E-2</v>
      </c>
      <c r="K121" s="569">
        <v>0.02</v>
      </c>
    </row>
    <row r="122" spans="1:15" x14ac:dyDescent="0.2">
      <c r="A122" s="529" t="s">
        <v>504</v>
      </c>
      <c r="B122" s="532">
        <f>B119*C122</f>
        <v>533.31200000000001</v>
      </c>
      <c r="C122" s="572">
        <f>IF('B2_Allgemeine Angaben'!$D$7="tst",KAT!K118,KAT!J118)</f>
        <v>0.02</v>
      </c>
      <c r="I122" s="570" t="s">
        <v>516</v>
      </c>
      <c r="J122" s="571">
        <f>AVERAGE(J118:J121)</f>
        <v>4.1000000000000002E-2</v>
      </c>
      <c r="K122" s="571">
        <f>AVERAGE(K118:K121)</f>
        <v>2.5000000000000001E-2</v>
      </c>
    </row>
    <row r="123" spans="1:15" ht="33.75" x14ac:dyDescent="0.2">
      <c r="A123" s="536" t="s">
        <v>502</v>
      </c>
      <c r="B123" s="537">
        <f>B119+B120+B122</f>
        <v>27198.912000000004</v>
      </c>
      <c r="C123" s="538" t="s">
        <v>505</v>
      </c>
    </row>
    <row r="124" spans="1:15" x14ac:dyDescent="0.2">
      <c r="A124" s="550" t="s">
        <v>506</v>
      </c>
      <c r="B124" s="532">
        <f>B123/12</f>
        <v>2266.5760000000005</v>
      </c>
      <c r="C124" s="539"/>
      <c r="I124" s="134" t="s">
        <v>857</v>
      </c>
      <c r="J124" s="134"/>
    </row>
    <row r="125" spans="1:15" ht="15" thickBot="1" x14ac:dyDescent="0.25">
      <c r="A125" s="540" t="s">
        <v>502</v>
      </c>
      <c r="B125" s="541">
        <f>B123+B124</f>
        <v>29465.488000000005</v>
      </c>
      <c r="C125" s="542"/>
      <c r="I125" s="134">
        <v>12.41</v>
      </c>
      <c r="J125" s="1377">
        <v>45292</v>
      </c>
    </row>
    <row r="126" spans="1:15" ht="29.25" thickBot="1" x14ac:dyDescent="0.25">
      <c r="A126" s="543" t="s">
        <v>507</v>
      </c>
      <c r="B126" s="544">
        <f>B125*102%*102%</f>
        <v>30655.893715200007</v>
      </c>
      <c r="C126" s="545">
        <f>ROUND(B126,-2)</f>
        <v>30700</v>
      </c>
      <c r="D126" s="546" t="s">
        <v>508</v>
      </c>
      <c r="E126" s="547">
        <f>C126+0.009</f>
        <v>30700.008999999998</v>
      </c>
      <c r="I126" s="134">
        <v>12.82</v>
      </c>
      <c r="J126" s="1377">
        <v>45658</v>
      </c>
    </row>
    <row r="130" spans="1:13" ht="15" x14ac:dyDescent="0.25">
      <c r="A130" s="559" t="s">
        <v>540</v>
      </c>
    </row>
    <row r="131" spans="1:13" x14ac:dyDescent="0.2">
      <c r="A131" s="520" t="s">
        <v>532</v>
      </c>
      <c r="B131" s="520"/>
      <c r="C131" s="520"/>
      <c r="D131" s="520"/>
      <c r="E131" s="520"/>
      <c r="F131" s="520"/>
      <c r="G131" s="520"/>
      <c r="H131" s="520"/>
      <c r="I131" s="520"/>
      <c r="J131" s="520"/>
      <c r="K131" s="520"/>
    </row>
    <row r="132" spans="1:13" x14ac:dyDescent="0.2">
      <c r="A132" s="210" t="s">
        <v>541</v>
      </c>
      <c r="B132" s="520"/>
      <c r="C132" s="520"/>
      <c r="D132" s="520"/>
      <c r="E132" s="520"/>
      <c r="F132" s="520"/>
      <c r="G132" s="520"/>
      <c r="H132" s="520"/>
      <c r="I132" s="520"/>
      <c r="J132" s="520"/>
      <c r="K132" s="520"/>
    </row>
    <row r="133" spans="1:13" x14ac:dyDescent="0.2">
      <c r="A133" s="210" t="s">
        <v>557</v>
      </c>
    </row>
    <row r="135" spans="1:13" x14ac:dyDescent="0.2">
      <c r="B135" s="1598" t="s">
        <v>550</v>
      </c>
      <c r="C135" s="1599"/>
      <c r="D135" s="134" t="s">
        <v>522</v>
      </c>
      <c r="E135" t="s">
        <v>558</v>
      </c>
    </row>
    <row r="136" spans="1:13" x14ac:dyDescent="0.2">
      <c r="A136" t="s">
        <v>523</v>
      </c>
      <c r="B136" s="1598" t="s">
        <v>258</v>
      </c>
      <c r="C136" s="1599"/>
      <c r="D136" s="134">
        <f>IF(B2_Kalkulation!F30=0,0,IF(B2_Kalkulation!F30&lt;KAT!E149,KAT!C149*B2_Kalkulation!M30+KAT!C149,IF(B2_Kalkulation!F30&gt;KAT!C149,B2_Kalkulation!F30*B2_Kalkulation!M30+B2_Kalkulation!F30)))</f>
        <v>0</v>
      </c>
    </row>
    <row r="137" spans="1:13" x14ac:dyDescent="0.2">
      <c r="B137" s="1598" t="s">
        <v>259</v>
      </c>
      <c r="C137" s="1599"/>
      <c r="D137" s="134">
        <f>IF(B2_Kalkulation!F31=0,0,IF(B2_Kalkulation!F31&lt;KAT!E161,KAT!C161*B2_Kalkulation!M31+KAT!C161,IF(B2_Kalkulation!F31&gt;KAT!C161,B2_Kalkulation!F31*B2_Kalkulation!M31+B2_Kalkulation!F31)))</f>
        <v>0</v>
      </c>
    </row>
    <row r="138" spans="1:13" ht="15" thickBot="1" x14ac:dyDescent="0.25"/>
    <row r="139" spans="1:13" ht="45" customHeight="1" x14ac:dyDescent="0.25">
      <c r="A139" s="1589" t="s">
        <v>553</v>
      </c>
      <c r="B139" s="1590"/>
      <c r="C139" s="1591"/>
      <c r="D139" s="309" t="s">
        <v>570</v>
      </c>
    </row>
    <row r="140" spans="1:13" x14ac:dyDescent="0.2">
      <c r="A140" s="529" t="s">
        <v>497</v>
      </c>
      <c r="B140" s="693">
        <v>12.82</v>
      </c>
      <c r="C140" s="530"/>
      <c r="H140" s="1378"/>
      <c r="I140" s="196"/>
    </row>
    <row r="141" spans="1:13" x14ac:dyDescent="0.2">
      <c r="A141" s="529" t="s">
        <v>498</v>
      </c>
      <c r="B141" s="531">
        <f>40*52</f>
        <v>2080</v>
      </c>
      <c r="C141" s="530" t="s">
        <v>499</v>
      </c>
      <c r="H141" s="1378"/>
      <c r="I141" s="196"/>
      <c r="K141" s="240"/>
      <c r="L141" s="240"/>
      <c r="M141" s="240"/>
    </row>
    <row r="142" spans="1:13" x14ac:dyDescent="0.2">
      <c r="A142" s="529" t="s">
        <v>500</v>
      </c>
      <c r="B142" s="532">
        <f>B141*B140</f>
        <v>26665.600000000002</v>
      </c>
      <c r="C142" s="530"/>
    </row>
    <row r="143" spans="1:13" x14ac:dyDescent="0.2">
      <c r="A143" s="529" t="s">
        <v>501</v>
      </c>
      <c r="B143" s="532">
        <f>B142*C143</f>
        <v>0</v>
      </c>
      <c r="C143" s="548">
        <f>B2_Personalkostenübersicht!$J$12/100</f>
        <v>0</v>
      </c>
    </row>
    <row r="144" spans="1:13" x14ac:dyDescent="0.2">
      <c r="A144" s="533" t="s">
        <v>502</v>
      </c>
      <c r="B144" s="534">
        <f>B142+B143</f>
        <v>26665.600000000002</v>
      </c>
      <c r="C144" s="535" t="s">
        <v>503</v>
      </c>
    </row>
    <row r="145" spans="1:5" x14ac:dyDescent="0.2">
      <c r="A145" s="529" t="s">
        <v>504</v>
      </c>
      <c r="B145" s="532">
        <f>B142*C145</f>
        <v>1373.2784000000001</v>
      </c>
      <c r="C145" s="572">
        <f>IF('B2_Allgemeine Angaben'!$D$7="tst",KAT!K119,KAT!J119)</f>
        <v>5.1499999999999997E-2</v>
      </c>
    </row>
    <row r="146" spans="1:5" ht="33.75" x14ac:dyDescent="0.2">
      <c r="A146" s="536" t="s">
        <v>502</v>
      </c>
      <c r="B146" s="537">
        <f>B142+B143+B145</f>
        <v>28038.878400000001</v>
      </c>
      <c r="C146" s="538" t="s">
        <v>505</v>
      </c>
    </row>
    <row r="147" spans="1:5" x14ac:dyDescent="0.2">
      <c r="A147" s="550" t="s">
        <v>506</v>
      </c>
      <c r="B147" s="532">
        <f>B146/12</f>
        <v>2336.5732000000003</v>
      </c>
      <c r="C147" s="539"/>
    </row>
    <row r="148" spans="1:5" ht="15" thickBot="1" x14ac:dyDescent="0.25">
      <c r="A148" s="540" t="s">
        <v>502</v>
      </c>
      <c r="B148" s="541">
        <f>B146+B147</f>
        <v>30375.4516</v>
      </c>
      <c r="C148" s="542"/>
    </row>
    <row r="149" spans="1:5" ht="29.25" thickBot="1" x14ac:dyDescent="0.25">
      <c r="A149" s="543" t="s">
        <v>507</v>
      </c>
      <c r="B149" s="544">
        <f>B148*102%*102%</f>
        <v>31602.619844640001</v>
      </c>
      <c r="C149" s="545">
        <f>ROUND(B149,-2)</f>
        <v>31600</v>
      </c>
      <c r="D149" s="546" t="s">
        <v>508</v>
      </c>
      <c r="E149" s="547">
        <f>C149+0.009</f>
        <v>31600.008999999998</v>
      </c>
    </row>
    <row r="150" spans="1:5" ht="15" thickBot="1" x14ac:dyDescent="0.25"/>
    <row r="151" spans="1:5" ht="40.5" customHeight="1" x14ac:dyDescent="0.25">
      <c r="A151" s="1589" t="s">
        <v>554</v>
      </c>
      <c r="B151" s="1590"/>
      <c r="C151" s="1591"/>
      <c r="D151" s="309" t="s">
        <v>570</v>
      </c>
    </row>
    <row r="152" spans="1:5" x14ac:dyDescent="0.2">
      <c r="A152" s="529" t="s">
        <v>497</v>
      </c>
      <c r="B152" s="693">
        <v>12.82</v>
      </c>
      <c r="C152" s="530"/>
    </row>
    <row r="153" spans="1:5" x14ac:dyDescent="0.2">
      <c r="A153" s="529" t="s">
        <v>498</v>
      </c>
      <c r="B153" s="531">
        <f>40*52</f>
        <v>2080</v>
      </c>
      <c r="C153" s="530" t="s">
        <v>499</v>
      </c>
    </row>
    <row r="154" spans="1:5" x14ac:dyDescent="0.2">
      <c r="A154" s="529" t="s">
        <v>500</v>
      </c>
      <c r="B154" s="532">
        <f>B153*B152</f>
        <v>26665.600000000002</v>
      </c>
      <c r="C154" s="530"/>
    </row>
    <row r="155" spans="1:5" x14ac:dyDescent="0.2">
      <c r="A155" s="529" t="s">
        <v>501</v>
      </c>
      <c r="B155" s="532">
        <f>B154*C155</f>
        <v>0</v>
      </c>
      <c r="C155" s="548">
        <f>B2_Personalkostenübersicht!$J$12/100</f>
        <v>0</v>
      </c>
    </row>
    <row r="156" spans="1:5" x14ac:dyDescent="0.2">
      <c r="A156" s="533" t="s">
        <v>502</v>
      </c>
      <c r="B156" s="534">
        <f>B154+B155</f>
        <v>26665.600000000002</v>
      </c>
      <c r="C156" s="535" t="s">
        <v>503</v>
      </c>
    </row>
    <row r="157" spans="1:5" x14ac:dyDescent="0.2">
      <c r="A157" s="529" t="s">
        <v>504</v>
      </c>
      <c r="B157" s="532">
        <f>B154*C157</f>
        <v>1373.2784000000001</v>
      </c>
      <c r="C157" s="572">
        <f>IF('B2_Allgemeine Angaben'!$D$7="tst",KAT!K120,KAT!J120)</f>
        <v>5.1499999999999997E-2</v>
      </c>
    </row>
    <row r="158" spans="1:5" ht="33.75" x14ac:dyDescent="0.2">
      <c r="A158" s="536" t="s">
        <v>502</v>
      </c>
      <c r="B158" s="537">
        <f>B154+B155+B157</f>
        <v>28038.878400000001</v>
      </c>
      <c r="C158" s="538" t="s">
        <v>505</v>
      </c>
    </row>
    <row r="159" spans="1:5" x14ac:dyDescent="0.2">
      <c r="A159" s="550" t="s">
        <v>506</v>
      </c>
      <c r="B159" s="532">
        <f>B158/12</f>
        <v>2336.5732000000003</v>
      </c>
      <c r="C159" s="539"/>
    </row>
    <row r="160" spans="1:5" ht="15" thickBot="1" x14ac:dyDescent="0.25">
      <c r="A160" s="540" t="s">
        <v>502</v>
      </c>
      <c r="B160" s="541">
        <f>B158+B159</f>
        <v>30375.4516</v>
      </c>
      <c r="C160" s="542"/>
    </row>
    <row r="161" spans="1:5" ht="29.25" thickBot="1" x14ac:dyDescent="0.25">
      <c r="A161" s="543" t="s">
        <v>507</v>
      </c>
      <c r="B161" s="544">
        <f>B160*102%*102%</f>
        <v>31602.619844640001</v>
      </c>
      <c r="C161" s="545">
        <f>ROUND(B161,-2)</f>
        <v>31600</v>
      </c>
      <c r="D161" s="546" t="s">
        <v>508</v>
      </c>
      <c r="E161" s="547">
        <f>C161+0.009</f>
        <v>31600.008999999998</v>
      </c>
    </row>
    <row r="162" spans="1:5" ht="15" thickBot="1" x14ac:dyDescent="0.25"/>
    <row r="163" spans="1:5" ht="33" customHeight="1" x14ac:dyDescent="0.25">
      <c r="A163" s="1589" t="s">
        <v>555</v>
      </c>
      <c r="B163" s="1590"/>
      <c r="C163" s="1591"/>
      <c r="D163" s="309" t="s">
        <v>570</v>
      </c>
    </row>
    <row r="164" spans="1:5" x14ac:dyDescent="0.2">
      <c r="A164" s="529" t="s">
        <v>497</v>
      </c>
      <c r="B164" s="693">
        <v>12.82</v>
      </c>
      <c r="C164" s="530"/>
    </row>
    <row r="165" spans="1:5" x14ac:dyDescent="0.2">
      <c r="A165" s="529" t="s">
        <v>498</v>
      </c>
      <c r="B165" s="531">
        <f>40*52</f>
        <v>2080</v>
      </c>
      <c r="C165" s="530" t="s">
        <v>499</v>
      </c>
    </row>
    <row r="166" spans="1:5" x14ac:dyDescent="0.2">
      <c r="A166" s="529" t="s">
        <v>500</v>
      </c>
      <c r="B166" s="532">
        <f>B165*B164</f>
        <v>26665.600000000002</v>
      </c>
      <c r="C166" s="530"/>
    </row>
    <row r="167" spans="1:5" x14ac:dyDescent="0.2">
      <c r="A167" s="529" t="s">
        <v>501</v>
      </c>
      <c r="B167" s="532">
        <f>B166*C167</f>
        <v>0</v>
      </c>
      <c r="C167" s="548">
        <f>B2_Personalkostenübersicht!$J$12/100</f>
        <v>0</v>
      </c>
    </row>
    <row r="168" spans="1:5" x14ac:dyDescent="0.2">
      <c r="A168" s="533" t="s">
        <v>502</v>
      </c>
      <c r="B168" s="534">
        <f>B166+B167</f>
        <v>26665.600000000002</v>
      </c>
      <c r="C168" s="535" t="s">
        <v>503</v>
      </c>
    </row>
    <row r="169" spans="1:5" x14ac:dyDescent="0.2">
      <c r="A169" s="529" t="s">
        <v>504</v>
      </c>
      <c r="B169" s="532">
        <f>B166*C169</f>
        <v>1093.2896000000001</v>
      </c>
      <c r="C169" s="572">
        <f>IF('B2_Allgemeine Angaben'!$D$7="tst",KAT!K121,KAT!J121)</f>
        <v>4.1000000000000002E-2</v>
      </c>
    </row>
    <row r="170" spans="1:5" ht="33.75" x14ac:dyDescent="0.2">
      <c r="A170" s="536" t="s">
        <v>502</v>
      </c>
      <c r="B170" s="537">
        <f>B166+B167+B169</f>
        <v>27758.889600000002</v>
      </c>
      <c r="C170" s="538" t="s">
        <v>505</v>
      </c>
    </row>
    <row r="171" spans="1:5" x14ac:dyDescent="0.2">
      <c r="A171" s="550" t="s">
        <v>506</v>
      </c>
      <c r="B171" s="532">
        <f>B170/12</f>
        <v>2313.2408</v>
      </c>
      <c r="C171" s="539"/>
    </row>
    <row r="172" spans="1:5" ht="15" thickBot="1" x14ac:dyDescent="0.25">
      <c r="A172" s="540" t="s">
        <v>502</v>
      </c>
      <c r="B172" s="541">
        <f>B170+B171</f>
        <v>30072.130400000002</v>
      </c>
      <c r="C172" s="542"/>
    </row>
    <row r="173" spans="1:5" ht="29.25" thickBot="1" x14ac:dyDescent="0.25">
      <c r="A173" s="543" t="s">
        <v>507</v>
      </c>
      <c r="B173" s="544">
        <f>B172*102%*102%</f>
        <v>31287.044468160002</v>
      </c>
      <c r="C173" s="545">
        <f>ROUND(B173,-2)</f>
        <v>31300</v>
      </c>
      <c r="D173" s="546" t="s">
        <v>508</v>
      </c>
      <c r="E173" s="547">
        <f>C173+0.009</f>
        <v>31300.008999999998</v>
      </c>
    </row>
    <row r="176" spans="1:5" x14ac:dyDescent="0.2">
      <c r="A176" s="54" t="s">
        <v>1222</v>
      </c>
    </row>
    <row r="177" spans="1:2" x14ac:dyDescent="0.2">
      <c r="A177" s="195" t="s">
        <v>133</v>
      </c>
      <c r="B177" s="929" t="s">
        <v>1223</v>
      </c>
    </row>
  </sheetData>
  <sheetProtection algorithmName="SHA-512" hashValue="Of/MJupu6g3ep0b09bjJaP9IOs00zeWdLliKzJaLeD0rSbrUqvWQ97QNHi9UjcPlMd8beng9e8t5W6OhdDeOVA==" saltValue="gXpON8EdEGYbeg09yNFi1Q==" spinCount="100000" sheet="1" objects="1" scenarios="1"/>
  <customSheetViews>
    <customSheetView guid="{9119B1A0-FD79-4FE4-B78E-10E0AEB8080B}" state="hidden" topLeftCell="A70">
      <selection activeCell="G81" sqref="G81"/>
      <pageMargins left="0.7" right="0.7" top="0.78740157499999996" bottom="0.78740157499999996" header="0.3" footer="0.3"/>
      <pageSetup paperSize="9" orientation="portrait"/>
    </customSheetView>
  </customSheetViews>
  <mergeCells count="37">
    <mergeCell ref="U103:W104"/>
    <mergeCell ref="I102:L102"/>
    <mergeCell ref="A139:C139"/>
    <mergeCell ref="A151:C151"/>
    <mergeCell ref="A163:C163"/>
    <mergeCell ref="B102:D102"/>
    <mergeCell ref="A112:B112"/>
    <mergeCell ref="A113:B113"/>
    <mergeCell ref="E112:F112"/>
    <mergeCell ref="E113:F113"/>
    <mergeCell ref="B137:C137"/>
    <mergeCell ref="B136:C136"/>
    <mergeCell ref="A116:C116"/>
    <mergeCell ref="I116:K116"/>
    <mergeCell ref="B135:C135"/>
    <mergeCell ref="I113:J113"/>
    <mergeCell ref="M113:N113"/>
    <mergeCell ref="I103:J103"/>
    <mergeCell ref="I111:J111"/>
    <mergeCell ref="I109:J109"/>
    <mergeCell ref="I108:J108"/>
    <mergeCell ref="I107:J107"/>
    <mergeCell ref="I106:J106"/>
    <mergeCell ref="I105:J105"/>
    <mergeCell ref="I104:J104"/>
    <mergeCell ref="I17:M17"/>
    <mergeCell ref="I15:M15"/>
    <mergeCell ref="I16:M16"/>
    <mergeCell ref="H79:H80"/>
    <mergeCell ref="B87:C87"/>
    <mergeCell ref="A78:H78"/>
    <mergeCell ref="B44:F44"/>
    <mergeCell ref="A48:A49"/>
    <mergeCell ref="A51:A53"/>
    <mergeCell ref="A55:A56"/>
    <mergeCell ref="B79:E79"/>
    <mergeCell ref="F79:G79"/>
  </mergeCells>
  <phoneticPr fontId="66" type="noConversion"/>
  <dataValidations count="1">
    <dataValidation type="list" allowBlank="1" showInputMessage="1" showErrorMessage="1" sqref="A177" xr:uid="{00000000-0002-0000-0A00-000000000000}">
      <formula1>"ja,nein"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/>
  <headerFooter>
    <oddFooter xml:space="preserve">&amp;C
&amp;1#&amp;"Calibri,Standard"&amp;10&amp;K000000 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P532"/>
  <sheetViews>
    <sheetView showGridLines="0" tabSelected="1" zoomScaleNormal="100" workbookViewId="0">
      <selection activeCell="I10" sqref="I10"/>
    </sheetView>
  </sheetViews>
  <sheetFormatPr baseColWidth="10" defaultRowHeight="14.25" x14ac:dyDescent="0.2"/>
  <cols>
    <col min="1" max="1" width="3.875" customWidth="1"/>
    <col min="2" max="2" width="18" customWidth="1"/>
    <col min="7" max="7" width="13.5" customWidth="1"/>
    <col min="8" max="16" width="11" style="210"/>
  </cols>
  <sheetData>
    <row r="1" spans="1:8" ht="14.25" customHeight="1" x14ac:dyDescent="0.2">
      <c r="A1" s="1603" t="str">
        <f>'B2_Allgemeine Angaben'!A1:N1</f>
        <v>Vereinfachtes Verfahren der Aufforderung zum Abschluss einer Pflegesatzvereinbarung gemäß § 84, 85 SGB XI (Stand 31.10.2024)</v>
      </c>
      <c r="B1" s="1604"/>
      <c r="C1" s="1604"/>
      <c r="D1" s="1604"/>
      <c r="E1" s="1604"/>
      <c r="F1" s="1604"/>
      <c r="G1" s="1605"/>
    </row>
    <row r="2" spans="1:8" ht="14.25" customHeight="1" x14ac:dyDescent="0.2">
      <c r="A2" s="1606"/>
      <c r="B2" s="1607"/>
      <c r="C2" s="1607"/>
      <c r="D2" s="1607"/>
      <c r="E2" s="1607"/>
      <c r="F2" s="1607"/>
      <c r="G2" s="1608"/>
    </row>
    <row r="3" spans="1:8" customFormat="1" ht="6" customHeight="1" x14ac:dyDescent="0.2"/>
    <row r="4" spans="1:8" customFormat="1" ht="14.25" customHeight="1" x14ac:dyDescent="0.2">
      <c r="A4" s="519"/>
      <c r="B4" s="1433"/>
      <c r="C4" s="519"/>
      <c r="D4" s="519"/>
      <c r="E4" s="519"/>
      <c r="F4" s="519"/>
      <c r="G4" s="519"/>
      <c r="H4" s="520"/>
    </row>
    <row r="17" spans="9:9" ht="15" x14ac:dyDescent="0.25">
      <c r="I17" s="1432"/>
    </row>
    <row r="54" spans="1:7" ht="14.25" customHeight="1" x14ac:dyDescent="0.2">
      <c r="A54" s="1603" t="str">
        <f>A1</f>
        <v>Vereinfachtes Verfahren der Aufforderung zum Abschluss einer Pflegesatzvereinbarung gemäß § 84, 85 SGB XI (Stand 31.10.2024)</v>
      </c>
      <c r="B54" s="1604"/>
      <c r="C54" s="1604"/>
      <c r="D54" s="1604"/>
      <c r="E54" s="1604"/>
      <c r="F54" s="1604"/>
      <c r="G54" s="1605"/>
    </row>
    <row r="55" spans="1:7" ht="14.25" customHeight="1" x14ac:dyDescent="0.2">
      <c r="A55" s="1606"/>
      <c r="B55" s="1607"/>
      <c r="C55" s="1607"/>
      <c r="D55" s="1607"/>
      <c r="E55" s="1607"/>
      <c r="F55" s="1607"/>
      <c r="G55" s="1608"/>
    </row>
    <row r="107" spans="1:7" ht="14.25" customHeight="1" x14ac:dyDescent="0.2">
      <c r="A107" s="1603" t="str">
        <f>A54</f>
        <v>Vereinfachtes Verfahren der Aufforderung zum Abschluss einer Pflegesatzvereinbarung gemäß § 84, 85 SGB XI (Stand 31.10.2024)</v>
      </c>
      <c r="B107" s="1604"/>
      <c r="C107" s="1604"/>
      <c r="D107" s="1604"/>
      <c r="E107" s="1604"/>
      <c r="F107" s="1604"/>
      <c r="G107" s="1605"/>
    </row>
    <row r="108" spans="1:7" ht="14.25" customHeight="1" x14ac:dyDescent="0.2">
      <c r="A108" s="1606"/>
      <c r="B108" s="1607"/>
      <c r="C108" s="1607"/>
      <c r="D108" s="1607"/>
      <c r="E108" s="1607"/>
      <c r="F108" s="1607"/>
      <c r="G108" s="1608"/>
    </row>
    <row r="160" spans="1:7" ht="14.25" customHeight="1" x14ac:dyDescent="0.2">
      <c r="A160" s="1603" t="str">
        <f>A107</f>
        <v>Vereinfachtes Verfahren der Aufforderung zum Abschluss einer Pflegesatzvereinbarung gemäß § 84, 85 SGB XI (Stand 31.10.2024)</v>
      </c>
      <c r="B160" s="1604"/>
      <c r="C160" s="1604"/>
      <c r="D160" s="1604"/>
      <c r="E160" s="1604"/>
      <c r="F160" s="1604"/>
      <c r="G160" s="1605"/>
    </row>
    <row r="161" spans="1:7" ht="14.25" customHeight="1" x14ac:dyDescent="0.2">
      <c r="A161" s="1606"/>
      <c r="B161" s="1607"/>
      <c r="C161" s="1607"/>
      <c r="D161" s="1607"/>
      <c r="E161" s="1607"/>
      <c r="F161" s="1607"/>
      <c r="G161" s="1608"/>
    </row>
    <row r="213" spans="1:7" ht="14.25" customHeight="1" x14ac:dyDescent="0.2">
      <c r="A213" s="1603" t="str">
        <f>A160</f>
        <v>Vereinfachtes Verfahren der Aufforderung zum Abschluss einer Pflegesatzvereinbarung gemäß § 84, 85 SGB XI (Stand 31.10.2024)</v>
      </c>
      <c r="B213" s="1604"/>
      <c r="C213" s="1604"/>
      <c r="D213" s="1604"/>
      <c r="E213" s="1604"/>
      <c r="F213" s="1604"/>
      <c r="G213" s="1605"/>
    </row>
    <row r="214" spans="1:7" ht="14.25" customHeight="1" x14ac:dyDescent="0.2">
      <c r="A214" s="1606"/>
      <c r="B214" s="1607"/>
      <c r="C214" s="1607"/>
      <c r="D214" s="1607"/>
      <c r="E214" s="1607"/>
      <c r="F214" s="1607"/>
      <c r="G214" s="1608"/>
    </row>
    <row r="266" spans="1:7" ht="14.25" customHeight="1" x14ac:dyDescent="0.2">
      <c r="A266" s="1603" t="str">
        <f>A213</f>
        <v>Vereinfachtes Verfahren der Aufforderung zum Abschluss einer Pflegesatzvereinbarung gemäß § 84, 85 SGB XI (Stand 31.10.2024)</v>
      </c>
      <c r="B266" s="1604"/>
      <c r="C266" s="1604"/>
      <c r="D266" s="1604"/>
      <c r="E266" s="1604"/>
      <c r="F266" s="1604"/>
      <c r="G266" s="1605"/>
    </row>
    <row r="267" spans="1:7" ht="14.25" customHeight="1" x14ac:dyDescent="0.2">
      <c r="A267" s="1606"/>
      <c r="B267" s="1607"/>
      <c r="C267" s="1607"/>
      <c r="D267" s="1607"/>
      <c r="E267" s="1607"/>
      <c r="F267" s="1607"/>
      <c r="G267" s="1608"/>
    </row>
    <row r="319" spans="1:7" ht="14.25" customHeight="1" x14ac:dyDescent="0.2">
      <c r="A319" s="1603" t="str">
        <f>A266</f>
        <v>Vereinfachtes Verfahren der Aufforderung zum Abschluss einer Pflegesatzvereinbarung gemäß § 84, 85 SGB XI (Stand 31.10.2024)</v>
      </c>
      <c r="B319" s="1604"/>
      <c r="C319" s="1604"/>
      <c r="D319" s="1604"/>
      <c r="E319" s="1604"/>
      <c r="F319" s="1604"/>
      <c r="G319" s="1605"/>
    </row>
    <row r="320" spans="1:7" ht="14.25" customHeight="1" x14ac:dyDescent="0.2">
      <c r="A320" s="1606"/>
      <c r="B320" s="1607"/>
      <c r="C320" s="1607"/>
      <c r="D320" s="1607"/>
      <c r="E320" s="1607"/>
      <c r="F320" s="1607"/>
      <c r="G320" s="1608"/>
    </row>
    <row r="372" spans="1:7" ht="14.25" customHeight="1" x14ac:dyDescent="0.2">
      <c r="A372" s="1603" t="str">
        <f>A319</f>
        <v>Vereinfachtes Verfahren der Aufforderung zum Abschluss einer Pflegesatzvereinbarung gemäß § 84, 85 SGB XI (Stand 31.10.2024)</v>
      </c>
      <c r="B372" s="1604"/>
      <c r="C372" s="1604"/>
      <c r="D372" s="1604"/>
      <c r="E372" s="1604"/>
      <c r="F372" s="1604"/>
      <c r="G372" s="1605"/>
    </row>
    <row r="373" spans="1:7" ht="14.25" customHeight="1" x14ac:dyDescent="0.2">
      <c r="A373" s="1606"/>
      <c r="B373" s="1607"/>
      <c r="C373" s="1607"/>
      <c r="D373" s="1607"/>
      <c r="E373" s="1607"/>
      <c r="F373" s="1607"/>
      <c r="G373" s="1608"/>
    </row>
    <row r="425" spans="1:7" ht="14.25" customHeight="1" x14ac:dyDescent="0.2">
      <c r="A425" s="1603" t="str">
        <f>A372</f>
        <v>Vereinfachtes Verfahren der Aufforderung zum Abschluss einer Pflegesatzvereinbarung gemäß § 84, 85 SGB XI (Stand 31.10.2024)</v>
      </c>
      <c r="B425" s="1604"/>
      <c r="C425" s="1604"/>
      <c r="D425" s="1604"/>
      <c r="E425" s="1604"/>
      <c r="F425" s="1604"/>
      <c r="G425" s="1605"/>
    </row>
    <row r="426" spans="1:7" ht="14.25" customHeight="1" x14ac:dyDescent="0.2">
      <c r="A426" s="1606"/>
      <c r="B426" s="1607"/>
      <c r="C426" s="1607"/>
      <c r="D426" s="1607"/>
      <c r="E426" s="1607"/>
      <c r="F426" s="1607"/>
      <c r="G426" s="1608"/>
    </row>
    <row r="478" spans="1:7" ht="14.25" customHeight="1" x14ac:dyDescent="0.2">
      <c r="A478" s="1603" t="str">
        <f>A425</f>
        <v>Vereinfachtes Verfahren der Aufforderung zum Abschluss einer Pflegesatzvereinbarung gemäß § 84, 85 SGB XI (Stand 31.10.2024)</v>
      </c>
      <c r="B478" s="1604"/>
      <c r="C478" s="1604"/>
      <c r="D478" s="1604"/>
      <c r="E478" s="1604"/>
      <c r="F478" s="1604"/>
      <c r="G478" s="1605"/>
    </row>
    <row r="479" spans="1:7" ht="14.25" customHeight="1" x14ac:dyDescent="0.2">
      <c r="A479" s="1606"/>
      <c r="B479" s="1607"/>
      <c r="C479" s="1607"/>
      <c r="D479" s="1607"/>
      <c r="E479" s="1607"/>
      <c r="F479" s="1607"/>
      <c r="G479" s="1608"/>
    </row>
    <row r="531" spans="1:7" x14ac:dyDescent="0.2">
      <c r="A531" s="1603" t="s">
        <v>1256</v>
      </c>
      <c r="B531" s="1604"/>
      <c r="C531" s="1604"/>
      <c r="D531" s="1604"/>
      <c r="E531" s="1604"/>
      <c r="F531" s="1604"/>
      <c r="G531" s="1605"/>
    </row>
    <row r="532" spans="1:7" x14ac:dyDescent="0.2">
      <c r="A532" s="1606"/>
      <c r="B532" s="1607"/>
      <c r="C532" s="1607"/>
      <c r="D532" s="1607"/>
      <c r="E532" s="1607"/>
      <c r="F532" s="1607"/>
      <c r="G532" s="1608"/>
    </row>
  </sheetData>
  <sheetProtection algorithmName="SHA-512" hashValue="kgE2HG65nbTojq54SpQ6FsyovfBTS9HmccfCJ+VTJix2krYgx2mycdieavLJu9yXymdK20v4usL1i37yyiZJzQ==" saltValue="CHUY6TMjVHR3oInSxGCEIw==" spinCount="100000" sheet="1" objects="1" scenarios="1"/>
  <customSheetViews>
    <customSheetView guid="{9119B1A0-FD79-4FE4-B78E-10E0AEB8080B}" scale="130">
      <selection activeCell="C14" sqref="C14"/>
      <pageMargins left="0.70866141732283472" right="0.70866141732283472" top="0.78740157480314965" bottom="0.78740157480314965" header="0.31496062992125984" footer="0.31496062992125984"/>
      <pageSetup paperSize="9" orientation="portrait"/>
      <headerFooter>
        <oddFooter>&amp;L&amp;8Version: 21.09.2020&amp;C&amp;8Verhandlungsunterlagen SGB XI (vereinfacht)</oddFooter>
      </headerFooter>
    </customSheetView>
  </customSheetViews>
  <mergeCells count="11">
    <mergeCell ref="A531:G532"/>
    <mergeCell ref="A1:G2"/>
    <mergeCell ref="A54:G55"/>
    <mergeCell ref="A107:G108"/>
    <mergeCell ref="A160:G161"/>
    <mergeCell ref="A213:G214"/>
    <mergeCell ref="A478:G479"/>
    <mergeCell ref="A425:G426"/>
    <mergeCell ref="A266:G267"/>
    <mergeCell ref="A319:G320"/>
    <mergeCell ref="A372:G373"/>
  </mergeCells>
  <pageMargins left="0.70866141732283472" right="0.70866141732283472" top="0.78740157480314965" bottom="0.78740157480314965" header="0.31496062992125984" footer="0.31496062992125984"/>
  <pageSetup paperSize="9" orientation="portrait"/>
  <headerFooter>
    <oddFooter>&amp;L&amp;8Version: 21.11.2024&amp;C&amp;8Verhandlungsunterlagen SGB XI (vereinfacht B2)&amp;R&amp;8PSK-Beschluss vom  07.11.2024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FF0000"/>
    <pageSetUpPr fitToPage="1"/>
  </sheetPr>
  <dimension ref="A1:U76"/>
  <sheetViews>
    <sheetView showGridLines="0" zoomScaleNormal="100" workbookViewId="0">
      <selection activeCell="G24" sqref="G24"/>
    </sheetView>
  </sheetViews>
  <sheetFormatPr baseColWidth="10" defaultRowHeight="14.25" x14ac:dyDescent="0.2"/>
  <cols>
    <col min="1" max="1" width="4.625" style="2" customWidth="1"/>
    <col min="2" max="2" width="2.375" style="2" customWidth="1"/>
    <col min="3" max="3" width="14.25" style="2" customWidth="1"/>
    <col min="4" max="4" width="10.625" style="2" customWidth="1"/>
    <col min="5" max="7" width="3.125" style="2" customWidth="1"/>
    <col min="8" max="8" width="11" style="2"/>
    <col min="9" max="10" width="2.375" style="2" customWidth="1"/>
    <col min="11" max="11" width="12.625" style="2" customWidth="1"/>
    <col min="12" max="12" width="7.625" style="2" customWidth="1"/>
    <col min="13" max="13" width="8.625" style="2" customWidth="1"/>
    <col min="14" max="14" width="4.625" style="2" customWidth="1"/>
    <col min="15" max="15" width="46.25" customWidth="1"/>
    <col min="16" max="20" width="11" style="2" customWidth="1"/>
    <col min="21" max="27" width="11" customWidth="1"/>
  </cols>
  <sheetData>
    <row r="1" spans="1:20" ht="33.75" customHeight="1" x14ac:dyDescent="0.25">
      <c r="A1" s="1610" t="s">
        <v>1259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308"/>
      <c r="O1" s="423"/>
      <c r="P1"/>
      <c r="Q1" s="131"/>
      <c r="R1" s="591"/>
      <c r="S1" s="592"/>
      <c r="T1"/>
    </row>
    <row r="2" spans="1:20" ht="15" customHeight="1" x14ac:dyDescent="0.25">
      <c r="A2" s="1614" t="s">
        <v>0</v>
      </c>
      <c r="B2" s="1615"/>
      <c r="C2" s="1615"/>
      <c r="D2" s="1615"/>
      <c r="E2" s="1615"/>
      <c r="F2" s="1615"/>
      <c r="G2" s="1615"/>
      <c r="H2" s="1615"/>
      <c r="I2" s="1615"/>
      <c r="J2" s="1615"/>
      <c r="K2" s="1615"/>
      <c r="L2" s="1615"/>
      <c r="M2" s="1615"/>
      <c r="N2" s="1616"/>
      <c r="O2" s="593"/>
      <c r="P2"/>
      <c r="Q2"/>
      <c r="R2"/>
      <c r="S2"/>
      <c r="T2"/>
    </row>
    <row r="3" spans="1:20" ht="15" x14ac:dyDescent="0.25">
      <c r="A3" s="1614" t="str">
        <f>IF(D12&gt;0,CONCATENATE(D12,", ",D16),"")</f>
        <v/>
      </c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  <c r="N3" s="1616"/>
      <c r="O3" s="12"/>
      <c r="P3"/>
      <c r="Q3"/>
      <c r="R3"/>
      <c r="S3"/>
      <c r="T3"/>
    </row>
    <row r="4" spans="1:20" x14ac:dyDescent="0.2">
      <c r="A4" s="1309" t="str">
        <f>IF(L6&gt;0,CONCATENATE("IK"," ",L6),"")</f>
        <v/>
      </c>
      <c r="B4" s="1310"/>
      <c r="C4" s="1310"/>
      <c r="D4" s="1310"/>
      <c r="E4" s="1310"/>
      <c r="F4" s="1310"/>
      <c r="G4" s="1310"/>
      <c r="H4" s="1310"/>
      <c r="I4" s="1310"/>
      <c r="J4" s="1310"/>
      <c r="K4" s="1311" t="s">
        <v>335</v>
      </c>
      <c r="L4" s="1622"/>
      <c r="M4" s="1623"/>
      <c r="N4" s="1312"/>
      <c r="O4" s="23"/>
      <c r="P4"/>
      <c r="Q4"/>
      <c r="R4"/>
      <c r="S4"/>
      <c r="T4"/>
    </row>
    <row r="5" spans="1:20" ht="12.75" customHeight="1" thickBot="1" x14ac:dyDescent="0.25">
      <c r="A5" s="1620">
        <v>45617</v>
      </c>
      <c r="B5" s="1621"/>
      <c r="C5" s="1313"/>
      <c r="D5"/>
      <c r="E5"/>
      <c r="F5"/>
      <c r="G5"/>
      <c r="H5"/>
      <c r="I5"/>
      <c r="J5"/>
      <c r="K5"/>
      <c r="L5"/>
      <c r="M5"/>
      <c r="N5" s="8"/>
      <c r="P5"/>
      <c r="Q5"/>
      <c r="R5"/>
      <c r="S5"/>
      <c r="T5"/>
    </row>
    <row r="6" spans="1:20" ht="15" thickBot="1" x14ac:dyDescent="0.25">
      <c r="A6" s="9"/>
      <c r="B6" s="194" t="s">
        <v>1</v>
      </c>
      <c r="C6"/>
      <c r="D6" s="1617"/>
      <c r="E6" s="1618"/>
      <c r="F6" s="1618"/>
      <c r="G6" s="1619"/>
      <c r="H6"/>
      <c r="I6" s="194"/>
      <c r="J6" s="194"/>
      <c r="K6" s="640" t="s">
        <v>448</v>
      </c>
      <c r="L6" s="1612"/>
      <c r="M6" s="1613"/>
      <c r="N6" s="8"/>
      <c r="O6" s="126"/>
      <c r="P6"/>
      <c r="Q6"/>
      <c r="R6"/>
      <c r="S6"/>
      <c r="T6"/>
    </row>
    <row r="7" spans="1:20" ht="12.75" customHeight="1" x14ac:dyDescent="0.2">
      <c r="A7" s="9"/>
      <c r="B7" s="1314"/>
      <c r="C7" s="1315"/>
      <c r="D7" s="1316" t="str">
        <f>IF(D6&gt;0,IF(D6="teilstationäre Pflege","tst",IF(D6="Kurzzeitpflege","kzp","vst")),"")</f>
        <v/>
      </c>
      <c r="E7" s="1317" t="b">
        <f>IF(D6&gt;0,IF(D6="Wohnpflegeheim","WPH",""))</f>
        <v>0</v>
      </c>
      <c r="F7" s="1316" t="str">
        <f>IF(D6="4. Generation","4.","")</f>
        <v/>
      </c>
      <c r="G7" s="1318" t="str">
        <f>IF(OR(D6="teilstationäre Pflege",D6="4. Generation",D6="Kurzzeitpflege"),1,"")</f>
        <v/>
      </c>
      <c r="H7"/>
      <c r="I7"/>
      <c r="J7"/>
      <c r="K7" s="640" t="s">
        <v>447</v>
      </c>
      <c r="L7" s="1612"/>
      <c r="M7" s="1613"/>
      <c r="N7" s="8"/>
      <c r="O7" s="594"/>
      <c r="P7"/>
      <c r="Q7"/>
      <c r="R7"/>
      <c r="S7"/>
      <c r="T7"/>
    </row>
    <row r="8" spans="1:20" ht="12.75" customHeight="1" x14ac:dyDescent="0.2">
      <c r="A8" s="9"/>
      <c r="B8" s="1314"/>
      <c r="C8" s="1315"/>
      <c r="D8" s="7" t="s">
        <v>804</v>
      </c>
      <c r="E8" s="1319"/>
      <c r="F8" s="1319"/>
      <c r="G8" s="1320"/>
      <c r="H8" s="1609" t="s">
        <v>806</v>
      </c>
      <c r="I8" s="1609"/>
      <c r="J8" s="1609"/>
      <c r="K8" s="1609"/>
      <c r="L8" s="1321"/>
      <c r="M8" s="1321"/>
      <c r="N8" s="8"/>
      <c r="O8" s="594"/>
      <c r="P8"/>
      <c r="Q8"/>
      <c r="R8"/>
      <c r="S8"/>
      <c r="T8"/>
    </row>
    <row r="9" spans="1:20" ht="12.75" customHeight="1" x14ac:dyDescent="0.2">
      <c r="A9" s="9"/>
      <c r="B9" s="1314"/>
      <c r="C9" s="1315"/>
      <c r="D9" s="243"/>
      <c r="E9"/>
      <c r="F9"/>
      <c r="G9"/>
      <c r="H9"/>
      <c r="I9"/>
      <c r="J9" s="1322" t="str">
        <f>IF(AND(D7="kzp",H8=""),"Bitte Form der Kurzzeitpflege angeben.","")</f>
        <v/>
      </c>
      <c r="K9"/>
      <c r="L9"/>
      <c r="M9"/>
      <c r="N9" s="8"/>
      <c r="P9"/>
      <c r="Q9"/>
      <c r="R9"/>
      <c r="S9"/>
      <c r="T9"/>
    </row>
    <row r="10" spans="1:20" x14ac:dyDescent="0.2">
      <c r="A10" s="9"/>
      <c r="B10" s="1323" t="s">
        <v>3</v>
      </c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8"/>
      <c r="O10" s="457"/>
      <c r="P10"/>
      <c r="Q10"/>
      <c r="R10"/>
      <c r="S10"/>
      <c r="T10"/>
    </row>
    <row r="11" spans="1:20" ht="12.75" customHeight="1" x14ac:dyDescent="0.2">
      <c r="A11" s="9"/>
      <c r="B11"/>
      <c r="C11"/>
      <c r="D11" s="377" t="str">
        <f>IF(AND(D6=0,D12&lt;&gt;0),"bitte wählen Sie noch die Art der Einrichtung aus","")</f>
        <v/>
      </c>
      <c r="E11"/>
      <c r="F11"/>
      <c r="G11"/>
      <c r="H11"/>
      <c r="I11"/>
      <c r="J11"/>
      <c r="K11"/>
      <c r="L11"/>
      <c r="M11"/>
      <c r="N11" s="8"/>
      <c r="O11" s="456"/>
      <c r="P11"/>
      <c r="Q11"/>
      <c r="R11"/>
      <c r="S11"/>
      <c r="T11"/>
    </row>
    <row r="12" spans="1:20" x14ac:dyDescent="0.2">
      <c r="A12" s="9"/>
      <c r="B12" s="244" t="s">
        <v>136</v>
      </c>
      <c r="C12"/>
      <c r="D12" s="1624"/>
      <c r="E12" s="1625"/>
      <c r="F12" s="1625"/>
      <c r="G12" s="1625"/>
      <c r="H12" s="1625"/>
      <c r="I12" s="1625"/>
      <c r="J12" s="1625"/>
      <c r="K12" s="1625"/>
      <c r="L12" s="1625"/>
      <c r="M12" s="1625"/>
      <c r="N12" s="24"/>
      <c r="O12" s="595"/>
      <c r="P12"/>
      <c r="Q12"/>
      <c r="R12"/>
      <c r="S12"/>
      <c r="T12"/>
    </row>
    <row r="13" spans="1:20" x14ac:dyDescent="0.2">
      <c r="A13" s="9"/>
      <c r="B13"/>
      <c r="C13"/>
      <c r="D13" s="1324" t="s">
        <v>4</v>
      </c>
      <c r="E13" s="1324"/>
      <c r="F13"/>
      <c r="G13"/>
      <c r="H13"/>
      <c r="I13"/>
      <c r="J13" s="1324"/>
      <c r="K13" s="1324"/>
      <c r="L13" s="1324"/>
      <c r="M13" s="1324"/>
      <c r="N13" s="1325"/>
      <c r="P13"/>
      <c r="Q13"/>
      <c r="R13"/>
      <c r="S13"/>
      <c r="T13"/>
    </row>
    <row r="14" spans="1:20" x14ac:dyDescent="0.2">
      <c r="A14" s="9"/>
      <c r="B14"/>
      <c r="C14"/>
      <c r="D14" s="1624"/>
      <c r="E14" s="1625"/>
      <c r="F14" s="1625"/>
      <c r="G14" s="1625"/>
      <c r="H14" s="1625"/>
      <c r="I14" s="1625"/>
      <c r="J14" s="1625"/>
      <c r="K14" s="1625"/>
      <c r="L14" s="1625"/>
      <c r="M14" s="1625"/>
      <c r="N14" s="8"/>
      <c r="P14"/>
      <c r="Q14"/>
      <c r="R14"/>
      <c r="S14"/>
      <c r="T14"/>
    </row>
    <row r="15" spans="1:20" x14ac:dyDescent="0.2">
      <c r="A15" s="9"/>
      <c r="B15"/>
      <c r="C15"/>
      <c r="D15" s="1324" t="s">
        <v>5</v>
      </c>
      <c r="E15" s="1324"/>
      <c r="F15"/>
      <c r="G15"/>
      <c r="H15"/>
      <c r="I15"/>
      <c r="J15"/>
      <c r="K15"/>
      <c r="L15"/>
      <c r="M15"/>
      <c r="N15" s="8"/>
      <c r="O15" s="596"/>
      <c r="P15"/>
      <c r="Q15"/>
      <c r="R15"/>
      <c r="S15"/>
      <c r="T15"/>
    </row>
    <row r="16" spans="1:20" x14ac:dyDescent="0.2">
      <c r="A16" s="9"/>
      <c r="B16"/>
      <c r="C16"/>
      <c r="D16" s="1636"/>
      <c r="E16" s="1634"/>
      <c r="F16" s="1634"/>
      <c r="G16" s="1634"/>
      <c r="H16" s="1634"/>
      <c r="I16" s="1634"/>
      <c r="J16" s="1634"/>
      <c r="K16" s="1634"/>
      <c r="L16" s="1634"/>
      <c r="M16" s="1634"/>
      <c r="N16" s="8"/>
      <c r="O16" s="597"/>
      <c r="P16"/>
      <c r="Q16"/>
      <c r="R16"/>
      <c r="S16"/>
      <c r="T16"/>
    </row>
    <row r="17" spans="1:20" x14ac:dyDescent="0.2">
      <c r="A17" s="9"/>
      <c r="B17"/>
      <c r="C17"/>
      <c r="D17" s="1324" t="s">
        <v>6</v>
      </c>
      <c r="E17" s="1324"/>
      <c r="F17"/>
      <c r="G17"/>
      <c r="H17"/>
      <c r="I17"/>
      <c r="J17"/>
      <c r="K17"/>
      <c r="L17"/>
      <c r="M17"/>
      <c r="N17" s="8"/>
      <c r="P17"/>
      <c r="Q17"/>
      <c r="R17"/>
      <c r="S17"/>
      <c r="T17"/>
    </row>
    <row r="18" spans="1:20" x14ac:dyDescent="0.2">
      <c r="A18" s="9"/>
      <c r="B18"/>
      <c r="C18"/>
      <c r="D18" s="1635"/>
      <c r="E18" s="1632"/>
      <c r="F18" s="1632"/>
      <c r="G18" s="1632"/>
      <c r="H18" s="1625"/>
      <c r="I18"/>
      <c r="J18" s="1636"/>
      <c r="K18" s="1634"/>
      <c r="L18" s="1634"/>
      <c r="M18" s="1634"/>
      <c r="N18" s="8"/>
      <c r="O18" s="598"/>
      <c r="P18"/>
      <c r="Q18"/>
      <c r="R18"/>
      <c r="S18"/>
      <c r="T18"/>
    </row>
    <row r="19" spans="1:20" x14ac:dyDescent="0.2">
      <c r="A19" s="9"/>
      <c r="B19"/>
      <c r="C19"/>
      <c r="D19" s="1324" t="s">
        <v>7</v>
      </c>
      <c r="E19" s="1324"/>
      <c r="F19"/>
      <c r="G19"/>
      <c r="H19"/>
      <c r="I19"/>
      <c r="J19" s="1324" t="s">
        <v>8</v>
      </c>
      <c r="K19" s="1324"/>
      <c r="L19" s="1324"/>
      <c r="M19"/>
      <c r="N19" s="8"/>
      <c r="P19"/>
      <c r="Q19"/>
      <c r="R19"/>
      <c r="S19"/>
      <c r="T19"/>
    </row>
    <row r="20" spans="1:20" x14ac:dyDescent="0.2">
      <c r="A20" s="9"/>
      <c r="B20"/>
      <c r="C20"/>
      <c r="D20" s="1631"/>
      <c r="E20" s="1632"/>
      <c r="F20" s="1632"/>
      <c r="G20" s="1632"/>
      <c r="H20" s="1625"/>
      <c r="I20"/>
      <c r="J20" s="1633"/>
      <c r="K20" s="1634"/>
      <c r="L20" s="1634"/>
      <c r="M20" s="1634"/>
      <c r="N20" s="8"/>
      <c r="P20"/>
      <c r="Q20"/>
      <c r="R20" s="88"/>
      <c r="S20"/>
      <c r="T20"/>
    </row>
    <row r="21" spans="1:20" x14ac:dyDescent="0.2">
      <c r="A21" s="9"/>
      <c r="B21"/>
      <c r="C21"/>
      <c r="D21" s="1324" t="s">
        <v>9</v>
      </c>
      <c r="E21" s="1324"/>
      <c r="F21"/>
      <c r="G21"/>
      <c r="H21"/>
      <c r="I21"/>
      <c r="J21" s="21" t="s">
        <v>138</v>
      </c>
      <c r="K21"/>
      <c r="L21"/>
      <c r="M21"/>
      <c r="N21" s="8"/>
      <c r="P21"/>
      <c r="Q21"/>
      <c r="R21"/>
      <c r="S21"/>
      <c r="T21"/>
    </row>
    <row r="22" spans="1:20" ht="14.25" customHeight="1" x14ac:dyDescent="0.2">
      <c r="A22" s="9"/>
      <c r="B22"/>
      <c r="C22"/>
      <c r="D22" s="1635"/>
      <c r="E22" s="1632"/>
      <c r="F22" s="1632"/>
      <c r="G22" s="1632"/>
      <c r="H22" s="1625"/>
      <c r="I22"/>
      <c r="J22" s="1636"/>
      <c r="K22" s="1634"/>
      <c r="L22" s="1634"/>
      <c r="M22" s="1634"/>
      <c r="N22" s="8"/>
      <c r="P22"/>
      <c r="Q22"/>
      <c r="R22"/>
      <c r="S22"/>
      <c r="T22"/>
    </row>
    <row r="23" spans="1:20" x14ac:dyDescent="0.2">
      <c r="A23" s="9"/>
      <c r="B23"/>
      <c r="C23"/>
      <c r="D23" s="1324" t="s">
        <v>137</v>
      </c>
      <c r="E23" s="1324"/>
      <c r="F23"/>
      <c r="G23"/>
      <c r="H23"/>
      <c r="I23"/>
      <c r="J23" s="1324" t="s">
        <v>10</v>
      </c>
      <c r="K23" s="1324"/>
      <c r="L23" s="1324"/>
      <c r="M23"/>
      <c r="N23" s="8"/>
      <c r="P23"/>
      <c r="Q23"/>
      <c r="R23"/>
      <c r="S23"/>
      <c r="T23"/>
    </row>
    <row r="24" spans="1:20" ht="12.75" customHeight="1" x14ac:dyDescent="0.2">
      <c r="A24" s="9"/>
      <c r="B24"/>
      <c r="C24"/>
      <c r="D24" s="1324"/>
      <c r="E24" s="1324"/>
      <c r="F24"/>
      <c r="G24"/>
      <c r="H24"/>
      <c r="I24"/>
      <c r="J24" s="21"/>
      <c r="K24"/>
      <c r="L24"/>
      <c r="M24"/>
      <c r="N24" s="8"/>
      <c r="P24"/>
      <c r="Q24"/>
      <c r="R24"/>
      <c r="S24"/>
      <c r="T24"/>
    </row>
    <row r="25" spans="1:20" ht="12.75" customHeight="1" x14ac:dyDescent="0.2">
      <c r="A25" s="9"/>
      <c r="B25"/>
      <c r="C25"/>
      <c r="D25" s="1324"/>
      <c r="E25" s="1324"/>
      <c r="F25"/>
      <c r="G25"/>
      <c r="H25"/>
      <c r="I25"/>
      <c r="J25"/>
      <c r="K25"/>
      <c r="L25"/>
      <c r="M25"/>
      <c r="N25" s="8"/>
      <c r="P25"/>
      <c r="Q25"/>
      <c r="R25"/>
      <c r="S25"/>
      <c r="T25"/>
    </row>
    <row r="26" spans="1:20" x14ac:dyDescent="0.2">
      <c r="A26" s="9"/>
      <c r="B26" s="244" t="s">
        <v>11</v>
      </c>
      <c r="C26"/>
      <c r="D26" s="1624"/>
      <c r="E26" s="1624"/>
      <c r="F26" s="1624"/>
      <c r="G26" s="1624"/>
      <c r="H26" s="1624"/>
      <c r="I26" s="1624"/>
      <c r="J26" s="1624"/>
      <c r="K26" s="1624"/>
      <c r="L26" s="1624"/>
      <c r="M26" s="1624"/>
      <c r="N26" s="8"/>
      <c r="P26"/>
      <c r="Q26"/>
      <c r="R26"/>
      <c r="S26"/>
      <c r="T26"/>
    </row>
    <row r="27" spans="1:20" x14ac:dyDescent="0.2">
      <c r="A27" s="9"/>
      <c r="B27"/>
      <c r="C27"/>
      <c r="D27" s="1324" t="s">
        <v>12</v>
      </c>
      <c r="E27" s="1324"/>
      <c r="F27"/>
      <c r="G27"/>
      <c r="H27"/>
      <c r="I27"/>
      <c r="J27"/>
      <c r="K27"/>
      <c r="L27"/>
      <c r="M27"/>
      <c r="N27" s="8"/>
      <c r="P27"/>
      <c r="Q27"/>
      <c r="R27"/>
      <c r="S27"/>
      <c r="T27"/>
    </row>
    <row r="28" spans="1:20" x14ac:dyDescent="0.2">
      <c r="A28" s="9"/>
      <c r="B28"/>
      <c r="C28"/>
      <c r="D28" s="1624"/>
      <c r="E28" s="1625"/>
      <c r="F28" s="1625"/>
      <c r="G28" s="1625"/>
      <c r="H28" s="1625"/>
      <c r="I28" s="1625"/>
      <c r="J28" s="1625"/>
      <c r="K28" s="1625"/>
      <c r="L28" s="1625"/>
      <c r="M28" s="1625"/>
      <c r="N28" s="8"/>
      <c r="P28"/>
      <c r="Q28"/>
      <c r="R28"/>
      <c r="S28"/>
      <c r="T28"/>
    </row>
    <row r="29" spans="1:20" ht="14.25" customHeight="1" x14ac:dyDescent="0.2">
      <c r="A29" s="9"/>
      <c r="B29"/>
      <c r="C29"/>
      <c r="D29" s="1324" t="s">
        <v>5</v>
      </c>
      <c r="E29" s="1324"/>
      <c r="F29"/>
      <c r="G29"/>
      <c r="H29"/>
      <c r="I29"/>
      <c r="J29"/>
      <c r="K29"/>
      <c r="L29"/>
      <c r="M29"/>
      <c r="N29" s="8"/>
      <c r="P29"/>
      <c r="Q29"/>
      <c r="R29"/>
      <c r="S29"/>
      <c r="T29"/>
    </row>
    <row r="30" spans="1:20" x14ac:dyDescent="0.2">
      <c r="A30" s="9"/>
      <c r="B30"/>
      <c r="C30"/>
      <c r="D30" s="1636"/>
      <c r="E30" s="1634"/>
      <c r="F30" s="1634"/>
      <c r="G30" s="1634"/>
      <c r="H30" s="1634"/>
      <c r="I30" s="1634"/>
      <c r="J30" s="1634"/>
      <c r="K30" s="1634"/>
      <c r="L30" s="1634"/>
      <c r="M30" s="1634"/>
      <c r="N30" s="8"/>
      <c r="P30"/>
      <c r="Q30"/>
      <c r="R30"/>
      <c r="S30"/>
      <c r="T30"/>
    </row>
    <row r="31" spans="1:20" x14ac:dyDescent="0.2">
      <c r="A31" s="9"/>
      <c r="B31"/>
      <c r="C31"/>
      <c r="D31" s="1324" t="s">
        <v>6</v>
      </c>
      <c r="E31" s="1324"/>
      <c r="F31"/>
      <c r="G31"/>
      <c r="H31"/>
      <c r="I31"/>
      <c r="J31"/>
      <c r="K31"/>
      <c r="L31"/>
      <c r="M31"/>
      <c r="N31" s="8"/>
      <c r="P31"/>
      <c r="Q31"/>
      <c r="R31"/>
      <c r="S31"/>
      <c r="T31"/>
    </row>
    <row r="32" spans="1:20" x14ac:dyDescent="0.2">
      <c r="A32" s="9"/>
      <c r="B32"/>
      <c r="C32"/>
      <c r="D32" s="1635"/>
      <c r="E32" s="1632"/>
      <c r="F32" s="1632"/>
      <c r="G32" s="1632"/>
      <c r="H32" s="1625"/>
      <c r="I32"/>
      <c r="J32" s="1636"/>
      <c r="K32" s="1634"/>
      <c r="L32" s="1634"/>
      <c r="M32" s="1634"/>
      <c r="N32" s="8"/>
      <c r="P32"/>
      <c r="Q32"/>
      <c r="R32"/>
      <c r="S32"/>
      <c r="T32"/>
    </row>
    <row r="33" spans="1:20" x14ac:dyDescent="0.2">
      <c r="A33" s="9"/>
      <c r="B33"/>
      <c r="C33"/>
      <c r="D33" s="1324" t="s">
        <v>7</v>
      </c>
      <c r="E33" s="1324"/>
      <c r="F33"/>
      <c r="G33"/>
      <c r="H33"/>
      <c r="I33"/>
      <c r="J33" s="1324" t="s">
        <v>8</v>
      </c>
      <c r="K33" s="1324"/>
      <c r="L33" s="1324"/>
      <c r="M33" s="1324"/>
      <c r="N33" s="1325"/>
      <c r="P33"/>
      <c r="Q33"/>
      <c r="R33"/>
      <c r="S33"/>
      <c r="T33"/>
    </row>
    <row r="34" spans="1:20" x14ac:dyDescent="0.2">
      <c r="A34" s="9"/>
      <c r="B34"/>
      <c r="C34"/>
      <c r="D34" s="1631"/>
      <c r="E34" s="1632"/>
      <c r="F34" s="1632"/>
      <c r="G34" s="1632"/>
      <c r="H34" s="1625"/>
      <c r="I34"/>
      <c r="J34" s="1633"/>
      <c r="K34" s="1634"/>
      <c r="L34" s="1634"/>
      <c r="M34" s="1634"/>
      <c r="N34" s="8"/>
    </row>
    <row r="35" spans="1:20" x14ac:dyDescent="0.2">
      <c r="A35" s="9"/>
      <c r="B35"/>
      <c r="C35"/>
      <c r="D35" s="1324" t="s">
        <v>9</v>
      </c>
      <c r="E35" s="1324"/>
      <c r="F35"/>
      <c r="G35"/>
      <c r="H35"/>
      <c r="I35"/>
      <c r="J35" s="21" t="s">
        <v>138</v>
      </c>
      <c r="K35"/>
      <c r="L35"/>
      <c r="M35"/>
      <c r="N35" s="8"/>
    </row>
    <row r="36" spans="1:20" x14ac:dyDescent="0.2">
      <c r="A36" s="9"/>
      <c r="B36"/>
      <c r="C36"/>
      <c r="D36" s="1624"/>
      <c r="E36" s="1625"/>
      <c r="F36" s="1625"/>
      <c r="G36" s="1625"/>
      <c r="H36" s="1625"/>
      <c r="I36" s="1625"/>
      <c r="J36" s="1625"/>
      <c r="K36" s="1625"/>
      <c r="L36" s="1625"/>
      <c r="M36" s="1625"/>
      <c r="N36" s="8"/>
      <c r="O36" s="596"/>
    </row>
    <row r="37" spans="1:20" x14ac:dyDescent="0.2">
      <c r="A37" s="9"/>
      <c r="B37"/>
      <c r="C37"/>
      <c r="D37" s="1324" t="s">
        <v>245</v>
      </c>
      <c r="E37" s="1324"/>
      <c r="F37"/>
      <c r="G37"/>
      <c r="H37"/>
      <c r="I37"/>
      <c r="J37" s="21"/>
      <c r="K37"/>
      <c r="L37"/>
      <c r="M37"/>
      <c r="N37" s="8"/>
    </row>
    <row r="38" spans="1:20" ht="5.25" customHeight="1" x14ac:dyDescent="0.2">
      <c r="A38" s="9"/>
      <c r="B38"/>
      <c r="C38"/>
      <c r="D38" s="1324"/>
      <c r="E38" s="1324"/>
      <c r="F38"/>
      <c r="G38"/>
      <c r="H38"/>
      <c r="I38"/>
      <c r="J38"/>
      <c r="K38"/>
      <c r="L38"/>
      <c r="M38"/>
      <c r="N38" s="8"/>
    </row>
    <row r="39" spans="1:20" x14ac:dyDescent="0.2">
      <c r="A39" s="9"/>
      <c r="B39" s="1323" t="s">
        <v>13</v>
      </c>
      <c r="C39" s="245"/>
      <c r="D39" s="1326"/>
      <c r="E39" s="1326"/>
      <c r="F39" s="245"/>
      <c r="G39" s="245"/>
      <c r="H39" s="245"/>
      <c r="I39" s="245"/>
      <c r="J39" s="245"/>
      <c r="K39" s="245"/>
      <c r="L39" s="245"/>
      <c r="M39" s="245"/>
      <c r="N39" s="8"/>
    </row>
    <row r="40" spans="1:20" ht="6" customHeight="1" x14ac:dyDescent="0.2">
      <c r="A40" s="9"/>
      <c r="B40"/>
      <c r="C40"/>
      <c r="D40" s="1324"/>
      <c r="E40" s="1324"/>
      <c r="F40"/>
      <c r="G40"/>
      <c r="H40"/>
      <c r="I40"/>
      <c r="J40"/>
      <c r="K40"/>
      <c r="L40"/>
      <c r="M40"/>
      <c r="N40" s="8"/>
    </row>
    <row r="41" spans="1:20" x14ac:dyDescent="0.2">
      <c r="A41" s="9"/>
      <c r="B41"/>
      <c r="C41" s="393"/>
      <c r="D41"/>
      <c r="E41" s="244"/>
      <c r="F41"/>
      <c r="G41" s="1032" t="s">
        <v>14</v>
      </c>
      <c r="H41" s="1626"/>
      <c r="I41" s="1625"/>
      <c r="J41" s="1625"/>
      <c r="K41" s="1625"/>
      <c r="L41" s="1625"/>
      <c r="M41" s="1625"/>
      <c r="N41" s="8"/>
    </row>
    <row r="42" spans="1:20" ht="6" customHeight="1" x14ac:dyDescent="0.2">
      <c r="A42" s="9"/>
      <c r="B42"/>
      <c r="C42"/>
      <c r="D42" s="1324"/>
      <c r="E42" s="1324"/>
      <c r="F42"/>
      <c r="G42"/>
      <c r="H42"/>
      <c r="I42"/>
      <c r="J42"/>
      <c r="K42"/>
      <c r="L42"/>
      <c r="M42"/>
      <c r="N42" s="8"/>
    </row>
    <row r="43" spans="1:20" s="2" customFormat="1" ht="12.75" customHeight="1" x14ac:dyDescent="0.2">
      <c r="A43" s="9"/>
      <c r="B43" s="244" t="s">
        <v>15</v>
      </c>
      <c r="C43"/>
      <c r="D43" s="1324"/>
      <c r="E43" s="1324"/>
      <c r="F43"/>
      <c r="G43"/>
      <c r="H43"/>
      <c r="I43" s="396"/>
      <c r="J43"/>
      <c r="K43"/>
      <c r="L43"/>
      <c r="M43"/>
      <c r="N43" s="8"/>
      <c r="O43" s="460"/>
    </row>
    <row r="44" spans="1:20" ht="12.75" customHeight="1" x14ac:dyDescent="0.2">
      <c r="A44" s="9"/>
      <c r="B44"/>
      <c r="C44"/>
      <c r="D44" s="1324"/>
      <c r="E44" s="1324"/>
      <c r="F44"/>
      <c r="G44"/>
      <c r="H44"/>
      <c r="I44"/>
      <c r="J44"/>
      <c r="K44"/>
      <c r="L44"/>
      <c r="M44"/>
      <c r="N44" s="8"/>
      <c r="O44" s="460"/>
    </row>
    <row r="45" spans="1:20" ht="12.75" customHeight="1" x14ac:dyDescent="0.2">
      <c r="A45" s="9"/>
      <c r="B45" s="1327" t="s">
        <v>710</v>
      </c>
      <c r="C45"/>
      <c r="D45" s="1324"/>
      <c r="E45" s="1324"/>
      <c r="F45"/>
      <c r="G45"/>
      <c r="H45" s="641"/>
      <c r="I45"/>
      <c r="J45"/>
      <c r="K45" s="927">
        <f>DATEDIF(H45,H52,"m")</f>
        <v>0</v>
      </c>
      <c r="L45"/>
      <c r="M45"/>
      <c r="N45" s="8"/>
      <c r="O45" s="460"/>
    </row>
    <row r="46" spans="1:20" ht="12.75" customHeight="1" thickBot="1" x14ac:dyDescent="0.25">
      <c r="A46" s="9"/>
      <c r="B46"/>
      <c r="C46"/>
      <c r="D46" s="1324"/>
      <c r="E46" s="1324"/>
      <c r="F46"/>
      <c r="G46"/>
      <c r="H46"/>
      <c r="I46"/>
      <c r="J46"/>
      <c r="K46" s="1322" t="str">
        <f>IF(AND(H45="",H52&lt;&gt;""),"Bitte Erfassung des Zulassungsdatums!","")</f>
        <v/>
      </c>
      <c r="L46"/>
      <c r="M46"/>
      <c r="N46" s="8"/>
      <c r="O46" s="460"/>
    </row>
    <row r="47" spans="1:20" ht="15" thickBot="1" x14ac:dyDescent="0.25">
      <c r="A47" s="9"/>
      <c r="B47" s="1327" t="s">
        <v>16</v>
      </c>
      <c r="C47"/>
      <c r="D47"/>
      <c r="E47"/>
      <c r="F47"/>
      <c r="G47"/>
      <c r="H47"/>
      <c r="I47"/>
      <c r="J47"/>
      <c r="K47"/>
      <c r="L47" s="394"/>
      <c r="M47"/>
      <c r="N47" s="8"/>
    </row>
    <row r="48" spans="1:20" ht="12.75" customHeight="1" thickBot="1" x14ac:dyDescent="0.25">
      <c r="A48" s="9"/>
      <c r="B48" s="1327" t="s">
        <v>826</v>
      </c>
      <c r="C48"/>
      <c r="D48"/>
      <c r="E48"/>
      <c r="F48"/>
      <c r="G48"/>
      <c r="H48"/>
      <c r="I48"/>
      <c r="J48"/>
      <c r="K48"/>
      <c r="L48" s="394"/>
      <c r="M48"/>
      <c r="N48" s="8"/>
      <c r="O48" s="126"/>
      <c r="P48" s="457"/>
      <c r="Q48" s="599"/>
    </row>
    <row r="49" spans="1:21" ht="12.75" customHeight="1" x14ac:dyDescent="0.2">
      <c r="A49" s="9"/>
      <c r="B49" s="1327"/>
      <c r="C49"/>
      <c r="D49"/>
      <c r="E49"/>
      <c r="F49"/>
      <c r="G49"/>
      <c r="H49" s="1328" t="str">
        <f>IF(AND(L48&gt;0,D7&lt;&gt;"vst"),"Erfassung nur bei vst. Einrichtungen möglich.","")</f>
        <v/>
      </c>
      <c r="I49"/>
      <c r="J49"/>
      <c r="K49"/>
      <c r="L49" s="180"/>
      <c r="M49"/>
      <c r="N49" s="8"/>
      <c r="O49" s="126"/>
      <c r="P49" s="457"/>
      <c r="Q49" s="599"/>
    </row>
    <row r="50" spans="1:21" ht="12.75" customHeight="1" x14ac:dyDescent="0.2">
      <c r="A50" s="1329"/>
      <c r="B50" s="1327" t="s">
        <v>17</v>
      </c>
      <c r="C50" s="7"/>
      <c r="D50" s="7"/>
      <c r="E50" s="1330"/>
      <c r="F50" s="1331"/>
      <c r="G50" s="1331"/>
      <c r="H50" s="395"/>
      <c r="I50"/>
      <c r="J50"/>
      <c r="K50"/>
      <c r="L50" s="1032" t="s">
        <v>18</v>
      </c>
      <c r="M50" s="396"/>
      <c r="N50" s="8"/>
      <c r="O50" s="126"/>
      <c r="P50" s="457"/>
      <c r="Q50" s="600"/>
      <c r="R50" s="601"/>
    </row>
    <row r="51" spans="1:21" ht="5.25" customHeight="1" thickBot="1" x14ac:dyDescent="0.25">
      <c r="A51" s="9"/>
      <c r="B51" s="1327"/>
      <c r="C51"/>
      <c r="D51"/>
      <c r="E51"/>
      <c r="F51"/>
      <c r="G51"/>
      <c r="H51"/>
      <c r="I51"/>
      <c r="J51"/>
      <c r="K51"/>
      <c r="L51"/>
      <c r="M51"/>
      <c r="N51" s="8"/>
      <c r="O51" s="126"/>
    </row>
    <row r="52" spans="1:21" s="244" customFormat="1" ht="13.5" thickBot="1" x14ac:dyDescent="0.25">
      <c r="A52" s="1332"/>
      <c r="B52" s="1327" t="s">
        <v>580</v>
      </c>
      <c r="C52" s="377"/>
      <c r="D52" s="377"/>
      <c r="E52" s="1333"/>
      <c r="F52" s="1627" t="s">
        <v>19</v>
      </c>
      <c r="G52" s="1627"/>
      <c r="H52" s="631"/>
      <c r="I52" s="1334"/>
      <c r="J52" s="1335" t="s">
        <v>20</v>
      </c>
      <c r="K52" s="632"/>
      <c r="N52" s="1336"/>
      <c r="P52" s="6"/>
      <c r="Q52" s="6"/>
      <c r="R52" s="6"/>
      <c r="S52" s="6"/>
      <c r="T52" s="6"/>
      <c r="U52" s="282"/>
    </row>
    <row r="53" spans="1:21" s="244" customFormat="1" ht="5.25" customHeight="1" x14ac:dyDescent="0.2">
      <c r="A53" s="1332"/>
      <c r="B53" s="1327"/>
      <c r="E53" s="1333"/>
      <c r="F53" s="1020"/>
      <c r="G53" s="1020"/>
      <c r="H53" s="1337"/>
      <c r="I53" s="1338"/>
      <c r="J53" s="1339"/>
      <c r="K53" s="1340"/>
      <c r="L53" s="1341">
        <f>IF(H52&lt;DATEVALUE("01.01.2025"),1,2)</f>
        <v>1</v>
      </c>
      <c r="N53" s="1336"/>
      <c r="P53" s="6"/>
      <c r="Q53" s="6"/>
      <c r="R53" s="6"/>
      <c r="S53" s="6"/>
      <c r="T53" s="6"/>
      <c r="U53" s="282"/>
    </row>
    <row r="54" spans="1:21" s="244" customFormat="1" ht="12.75" x14ac:dyDescent="0.2">
      <c r="A54" s="1332"/>
      <c r="B54" s="1327" t="s">
        <v>488</v>
      </c>
      <c r="E54" s="1333"/>
      <c r="F54" s="1627" t="s">
        <v>19</v>
      </c>
      <c r="G54" s="1627"/>
      <c r="H54" s="395"/>
      <c r="I54" s="1334"/>
      <c r="J54" s="1335" t="s">
        <v>20</v>
      </c>
      <c r="K54" s="395"/>
      <c r="N54" s="1336"/>
      <c r="P54" s="6"/>
      <c r="Q54" s="6"/>
      <c r="R54" s="6"/>
      <c r="S54" s="6"/>
      <c r="T54" s="6"/>
      <c r="U54" s="282"/>
    </row>
    <row r="55" spans="1:21" ht="12.75" customHeight="1" x14ac:dyDescent="0.2">
      <c r="A55" s="9"/>
      <c r="B55" s="1327"/>
      <c r="C55"/>
      <c r="D55"/>
      <c r="E55"/>
      <c r="F55"/>
      <c r="G55"/>
      <c r="H55"/>
      <c r="I55"/>
      <c r="J55"/>
      <c r="K55"/>
      <c r="L55" s="1341">
        <f>IF(H54&lt;DATEVALUE("01.05.2024"),1,2)</f>
        <v>1</v>
      </c>
      <c r="M55"/>
      <c r="N55" s="8"/>
    </row>
    <row r="56" spans="1:21" ht="12.75" customHeight="1" x14ac:dyDescent="0.2">
      <c r="A56" s="9"/>
      <c r="B56" s="1323" t="s">
        <v>163</v>
      </c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8"/>
    </row>
    <row r="57" spans="1:21" ht="6.75" customHeight="1" x14ac:dyDescent="0.2">
      <c r="A57" s="9"/>
      <c r="B57" s="1327"/>
      <c r="C57"/>
      <c r="D57"/>
      <c r="E57"/>
      <c r="F57"/>
      <c r="G57"/>
      <c r="H57"/>
      <c r="I57"/>
      <c r="J57"/>
      <c r="K57"/>
      <c r="L57"/>
      <c r="M57"/>
      <c r="N57" s="8"/>
    </row>
    <row r="58" spans="1:21" ht="15" customHeight="1" x14ac:dyDescent="0.2">
      <c r="A58" s="9"/>
      <c r="B58"/>
      <c r="C58" s="135" t="s">
        <v>161</v>
      </c>
      <c r="D58" s="10"/>
      <c r="E58" s="1342"/>
      <c r="F58" s="1342"/>
      <c r="G58" s="10"/>
      <c r="H58" s="1343"/>
      <c r="I58" s="1344"/>
      <c r="J58" s="1343"/>
      <c r="K58" s="129"/>
      <c r="L58" s="10"/>
      <c r="M58" s="129"/>
      <c r="N58" s="8"/>
      <c r="O58" s="377"/>
    </row>
    <row r="59" spans="1:21" s="244" customFormat="1" ht="14.25" customHeight="1" x14ac:dyDescent="0.2">
      <c r="A59" s="1332"/>
      <c r="C59" s="1345" t="s">
        <v>21</v>
      </c>
      <c r="D59" s="1346"/>
      <c r="E59" s="1346"/>
      <c r="F59" s="1346"/>
      <c r="G59" s="1346"/>
      <c r="H59" s="1347" t="s">
        <v>164</v>
      </c>
      <c r="I59" s="1346"/>
      <c r="J59" s="1346"/>
      <c r="K59" s="521"/>
      <c r="M59" s="1336"/>
      <c r="N59" s="1336"/>
      <c r="P59" s="6"/>
      <c r="Q59" s="6"/>
      <c r="R59" s="6"/>
      <c r="S59" s="6"/>
      <c r="T59" s="6"/>
    </row>
    <row r="60" spans="1:21" s="244" customFormat="1" ht="14.25" customHeight="1" x14ac:dyDescent="0.2">
      <c r="A60" s="1332"/>
      <c r="C60" s="1345" t="s">
        <v>22</v>
      </c>
      <c r="D60" s="1346"/>
      <c r="E60" s="1346"/>
      <c r="F60" s="1346"/>
      <c r="G60" s="1346"/>
      <c r="H60" s="1347" t="s">
        <v>164</v>
      </c>
      <c r="I60" s="1346"/>
      <c r="J60" s="1346"/>
      <c r="K60" s="522"/>
      <c r="L60" s="1348"/>
      <c r="M60" s="1349"/>
      <c r="N60" s="1336"/>
      <c r="P60" s="6"/>
      <c r="Q60" s="6"/>
      <c r="R60" s="6"/>
      <c r="S60" s="6"/>
      <c r="T60" s="6"/>
    </row>
    <row r="61" spans="1:21" s="244" customFormat="1" ht="14.25" customHeight="1" x14ac:dyDescent="0.2">
      <c r="A61" s="1332"/>
      <c r="C61" s="1345" t="s">
        <v>23</v>
      </c>
      <c r="D61" s="1346"/>
      <c r="E61" s="1346"/>
      <c r="F61" s="1346"/>
      <c r="G61" s="1346"/>
      <c r="H61" s="1347" t="s">
        <v>164</v>
      </c>
      <c r="I61" s="1346"/>
      <c r="J61" s="1346"/>
      <c r="K61" s="522"/>
      <c r="L61" s="1348"/>
      <c r="M61" s="1349"/>
      <c r="N61" s="1336"/>
      <c r="P61" s="6"/>
      <c r="Q61" s="6"/>
      <c r="R61" s="6"/>
      <c r="S61" s="6"/>
      <c r="T61" s="6"/>
    </row>
    <row r="62" spans="1:21" s="244" customFormat="1" ht="14.25" customHeight="1" x14ac:dyDescent="0.2">
      <c r="A62" s="1332"/>
      <c r="C62" s="1345" t="s">
        <v>24</v>
      </c>
      <c r="D62" s="1346"/>
      <c r="E62" s="1346"/>
      <c r="F62" s="1346"/>
      <c r="G62" s="1346"/>
      <c r="H62" s="1347" t="s">
        <v>164</v>
      </c>
      <c r="I62" s="1346"/>
      <c r="J62" s="1346"/>
      <c r="K62" s="521"/>
      <c r="L62" s="1348"/>
      <c r="M62" s="1349"/>
      <c r="N62" s="1336"/>
      <c r="P62" s="6"/>
      <c r="Q62" s="6"/>
      <c r="R62" s="6"/>
      <c r="S62" s="6"/>
      <c r="T62" s="6"/>
    </row>
    <row r="63" spans="1:21" s="244" customFormat="1" ht="14.25" customHeight="1" x14ac:dyDescent="0.2">
      <c r="A63" s="1332"/>
      <c r="C63" s="1345" t="s">
        <v>25</v>
      </c>
      <c r="D63" s="1346"/>
      <c r="E63" s="1346"/>
      <c r="F63" s="1346"/>
      <c r="G63" s="1346"/>
      <c r="H63" s="1347" t="s">
        <v>164</v>
      </c>
      <c r="I63" s="1346"/>
      <c r="J63" s="1346"/>
      <c r="K63" s="521"/>
      <c r="L63" s="1348"/>
      <c r="M63" s="1349"/>
      <c r="N63" s="1336"/>
      <c r="P63" s="6"/>
      <c r="Q63" s="6"/>
      <c r="R63" s="6"/>
      <c r="S63" s="6"/>
      <c r="T63" s="6"/>
    </row>
    <row r="64" spans="1:21" s="244" customFormat="1" ht="14.25" customHeight="1" x14ac:dyDescent="0.2">
      <c r="A64" s="1332"/>
      <c r="C64" s="1345" t="s">
        <v>26</v>
      </c>
      <c r="D64" s="1346"/>
      <c r="E64" s="1346"/>
      <c r="F64" s="1346"/>
      <c r="G64" s="1346"/>
      <c r="H64" s="1347" t="s">
        <v>164</v>
      </c>
      <c r="I64" s="1346"/>
      <c r="J64" s="1346"/>
      <c r="K64" s="521"/>
      <c r="L64" s="1348"/>
      <c r="M64" s="1349"/>
      <c r="N64" s="1336"/>
      <c r="P64" s="6"/>
      <c r="Q64" s="6"/>
      <c r="R64" s="6"/>
      <c r="S64" s="6"/>
      <c r="T64" s="6"/>
    </row>
    <row r="65" spans="1:20" s="244" customFormat="1" ht="14.25" customHeight="1" x14ac:dyDescent="0.2">
      <c r="A65" s="1332"/>
      <c r="C65" s="1350" t="s">
        <v>27</v>
      </c>
      <c r="D65" s="1144"/>
      <c r="E65" s="1144"/>
      <c r="F65" s="1144"/>
      <c r="G65" s="1144"/>
      <c r="H65" s="1351" t="s">
        <v>164</v>
      </c>
      <c r="I65" s="1352"/>
      <c r="J65" s="1352"/>
      <c r="K65" s="521"/>
      <c r="L65" s="1348"/>
      <c r="M65" s="1349"/>
      <c r="N65" s="1336"/>
      <c r="P65" s="6"/>
      <c r="Q65" s="6"/>
      <c r="R65" s="6"/>
      <c r="S65" s="6"/>
      <c r="T65" s="6"/>
    </row>
    <row r="66" spans="1:20" s="244" customFormat="1" ht="7.5" customHeight="1" x14ac:dyDescent="0.2">
      <c r="A66" s="1332"/>
      <c r="C66" s="1332"/>
      <c r="K66" s="1353"/>
      <c r="M66" s="1336"/>
      <c r="N66" s="1336"/>
      <c r="P66" s="6"/>
      <c r="Q66" s="6"/>
      <c r="R66" s="6"/>
      <c r="S66" s="6"/>
      <c r="T66" s="6"/>
    </row>
    <row r="67" spans="1:20" s="244" customFormat="1" ht="12.75" customHeight="1" x14ac:dyDescent="0.2">
      <c r="A67" s="1332"/>
      <c r="C67" s="1350"/>
      <c r="D67" s="1144"/>
      <c r="E67" s="1354"/>
      <c r="F67" s="1354"/>
      <c r="G67" s="1144"/>
      <c r="H67" s="1355" t="s">
        <v>162</v>
      </c>
      <c r="I67" s="1144"/>
      <c r="J67" s="1351"/>
      <c r="K67" s="523"/>
      <c r="L67" s="1356"/>
      <c r="M67" s="1357"/>
      <c r="N67" s="1336"/>
      <c r="O67" s="597"/>
      <c r="P67" s="6"/>
      <c r="Q67" s="6"/>
      <c r="R67" s="6"/>
      <c r="S67" s="6"/>
      <c r="T67" s="6"/>
    </row>
    <row r="68" spans="1:20" s="11" customFormat="1" ht="14.25" customHeight="1" x14ac:dyDescent="0.2">
      <c r="A68" s="1358"/>
      <c r="B68" s="1359"/>
      <c r="C68" s="1360"/>
      <c r="D68" s="1360"/>
      <c r="E68" s="1359"/>
      <c r="F68" s="1359"/>
      <c r="G68" s="1359"/>
      <c r="H68" s="1359"/>
      <c r="I68" s="1359"/>
      <c r="J68" s="1359"/>
      <c r="K68" s="1361" t="str">
        <f>IF(AND(H52&gt;0,K67&lt;=5),"Mappe 'B2_Allgemeine Angaben' und Mappe 'B2_Kalkulation' an den KSV senden!","")</f>
        <v/>
      </c>
      <c r="L68" s="1359"/>
      <c r="M68" s="1362"/>
      <c r="N68" s="1363"/>
      <c r="O68" s="602"/>
    </row>
    <row r="69" spans="1:20" s="11" customFormat="1" ht="14.25" customHeight="1" x14ac:dyDescent="0.2">
      <c r="A69" s="1358"/>
      <c r="B69" s="1364" t="s">
        <v>250</v>
      </c>
      <c r="C69" s="1364"/>
      <c r="D69" s="1364"/>
      <c r="E69" s="1364"/>
      <c r="F69" s="1364"/>
      <c r="G69" s="1364"/>
      <c r="H69" s="1364"/>
      <c r="I69" s="1364"/>
      <c r="J69" s="1364"/>
      <c r="K69" s="1364"/>
      <c r="L69" s="1364"/>
      <c r="M69" s="1364"/>
      <c r="N69" s="1363"/>
      <c r="O69" s="602"/>
    </row>
    <row r="70" spans="1:20" s="244" customFormat="1" ht="9.9499999999999993" customHeight="1" x14ac:dyDescent="0.2">
      <c r="A70" s="1332"/>
      <c r="E70" s="1365"/>
      <c r="F70" s="1365"/>
      <c r="G70" s="1365"/>
      <c r="H70" s="1365"/>
      <c r="I70" s="1365"/>
      <c r="J70" s="1365"/>
      <c r="K70" s="1365"/>
      <c r="L70" s="1365"/>
      <c r="N70" s="1336"/>
      <c r="P70" s="6"/>
      <c r="Q70" s="6"/>
      <c r="R70" s="6"/>
      <c r="S70" s="6"/>
      <c r="T70" s="6"/>
    </row>
    <row r="71" spans="1:20" s="11" customFormat="1" ht="14.25" customHeight="1" x14ac:dyDescent="0.2">
      <c r="A71" s="1358"/>
      <c r="B71" s="1366" t="s">
        <v>485</v>
      </c>
      <c r="C71" s="1360"/>
      <c r="D71" s="1360"/>
      <c r="E71" s="1359"/>
      <c r="F71" s="1359"/>
      <c r="G71" s="1359"/>
      <c r="H71" s="1359"/>
      <c r="I71" s="1359"/>
      <c r="J71" s="1359"/>
      <c r="K71" s="1359"/>
      <c r="L71" s="397"/>
      <c r="M71" s="1362"/>
      <c r="N71" s="1363"/>
      <c r="O71" s="603"/>
    </row>
    <row r="72" spans="1:20" s="244" customFormat="1" ht="3" customHeight="1" x14ac:dyDescent="0.2">
      <c r="A72" s="1332"/>
      <c r="M72" s="1367"/>
      <c r="N72" s="1336"/>
      <c r="P72" s="6"/>
      <c r="Q72" s="6"/>
      <c r="R72" s="6"/>
      <c r="S72" s="6"/>
      <c r="T72" s="6"/>
    </row>
    <row r="73" spans="1:20" s="11" customFormat="1" ht="14.25" customHeight="1" x14ac:dyDescent="0.2">
      <c r="A73" s="1358"/>
      <c r="B73" s="1368" t="s">
        <v>251</v>
      </c>
      <c r="C73" s="1360"/>
      <c r="D73" s="1360"/>
      <c r="E73" s="1359"/>
      <c r="F73" s="1359"/>
      <c r="G73" s="1359"/>
      <c r="H73" s="1359"/>
      <c r="I73" s="1359"/>
      <c r="J73" s="1359"/>
      <c r="K73" s="1359"/>
      <c r="L73" s="397"/>
      <c r="M73" s="1362"/>
      <c r="N73" s="1363"/>
      <c r="O73" s="603"/>
    </row>
    <row r="74" spans="1:20" ht="12.75" customHeight="1" x14ac:dyDescent="0.2">
      <c r="A74" s="14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1369"/>
      <c r="O74" s="377"/>
    </row>
    <row r="75" spans="1:20" ht="15" thickBot="1" x14ac:dyDescent="0.25"/>
    <row r="76" spans="1:20" ht="15" thickBot="1" x14ac:dyDescent="0.25">
      <c r="D76" s="1628" t="s">
        <v>565</v>
      </c>
      <c r="E76" s="1629"/>
      <c r="F76" s="1629"/>
      <c r="G76" s="1629"/>
      <c r="H76" s="1629"/>
      <c r="I76" s="1629"/>
      <c r="J76" s="1630"/>
      <c r="O76" s="377"/>
    </row>
  </sheetData>
  <sheetProtection algorithmName="SHA-512" hashValue="Ob4m9TQPpU5Vb5iax6NDbmlXgKg+HyoDzs8DtLTQS+V4JmKd/NxtxQccS5Cr32KJeF2KM2dAL1UgMWdTzWPwmQ==" saltValue="V5OgPmX1ng5s8iTHWjJQZQ==" spinCount="100000" sheet="1" objects="1" scenarios="1"/>
  <customSheetViews>
    <customSheetView guid="{9119B1A0-FD79-4FE4-B78E-10E0AEB8080B}" showPageBreaks="1" showGridLines="0" fitToPage="1" printArea="1" hiddenColumns="1" view="pageLayout">
      <selection activeCell="A2" sqref="A2:N2"/>
      <pageMargins left="0.70866141732283472" right="0.70866141732283472" top="0.78740157480314965" bottom="0.78740157480314965" header="0.31496062992125984" footer="0.31496062992125984"/>
      <pageSetup paperSize="9" scale="71" orientation="portrait" r:id="rId1"/>
      <headerFooter>
        <oddHeader>&amp;C&amp;9Seite 1</oddHeader>
        <oddFooter>&amp;L&amp;8Version 21.09.2020&amp;C&amp;8Verhandlungsunterlagen SGB XI (vereinfacht)</oddFooter>
      </headerFooter>
    </customSheetView>
  </customSheetViews>
  <mergeCells count="30">
    <mergeCell ref="D32:H32"/>
    <mergeCell ref="J32:M32"/>
    <mergeCell ref="D12:M12"/>
    <mergeCell ref="D14:M14"/>
    <mergeCell ref="D16:M16"/>
    <mergeCell ref="D18:H18"/>
    <mergeCell ref="J18:M18"/>
    <mergeCell ref="D20:H20"/>
    <mergeCell ref="D30:M30"/>
    <mergeCell ref="J20:M20"/>
    <mergeCell ref="D22:H22"/>
    <mergeCell ref="J22:M22"/>
    <mergeCell ref="D26:M26"/>
    <mergeCell ref="D28:M28"/>
    <mergeCell ref="D36:M36"/>
    <mergeCell ref="H41:M41"/>
    <mergeCell ref="F52:G52"/>
    <mergeCell ref="D76:J76"/>
    <mergeCell ref="D34:H34"/>
    <mergeCell ref="J34:M34"/>
    <mergeCell ref="F54:G54"/>
    <mergeCell ref="H8:K8"/>
    <mergeCell ref="A1:M1"/>
    <mergeCell ref="L7:M7"/>
    <mergeCell ref="A2:N2"/>
    <mergeCell ref="A3:N3"/>
    <mergeCell ref="D6:G6"/>
    <mergeCell ref="L6:M6"/>
    <mergeCell ref="A5:B5"/>
    <mergeCell ref="L4:M4"/>
  </mergeCells>
  <conditionalFormatting sqref="D8:K8">
    <cfRule type="expression" dxfId="150" priority="2">
      <formula>$D$7&lt;&gt;"kzp"</formula>
    </cfRule>
  </conditionalFormatting>
  <conditionalFormatting sqref="H7:M7 L8:M8">
    <cfRule type="expression" dxfId="149" priority="5">
      <formula>$L$48=0</formula>
    </cfRule>
  </conditionalFormatting>
  <conditionalFormatting sqref="L41">
    <cfRule type="expression" dxfId="148" priority="7">
      <formula>Wennoder($L$48&lt;0,$L$48=0,"")</formula>
    </cfRule>
  </conditionalFormatting>
  <dataValidations xWindow="440" yWindow="523" count="6">
    <dataValidation type="date" errorStyle="warning" operator="greaterThan" allowBlank="1" showInputMessage="1" showErrorMessage="1" errorTitle="Laufzeitbeginn im Jahr 2017" error="Laufzeitbeginn ab 01.01.2017 möglich" sqref="H53" xr:uid="{00000000-0002-0000-0100-000000000000}">
      <formula1>42735</formula1>
    </dataValidation>
    <dataValidation allowBlank="1" showInputMessage="1" showErrorMessage="1" promptTitle="Quorum" prompt="Bitte Hinweise zur Berechnung des Anteils beachten!" sqref="K67" xr:uid="{00000000-0002-0000-0100-000001000000}"/>
    <dataValidation type="whole" errorStyle="information" allowBlank="1" showInputMessage="1" showErrorMessage="1" errorTitle="angebundene KZP" promptTitle="angebundene KZP" prompt="siehe allgemeine Hinweise" sqref="L49" xr:uid="{00000000-0002-0000-0100-000002000000}">
      <formula1>1</formula1>
      <formula2>30</formula2>
    </dataValidation>
    <dataValidation type="list" allowBlank="1" showInputMessage="1" showErrorMessage="1" sqref="L73 L71" xr:uid="{00000000-0002-0000-0100-000003000000}">
      <formula1>"ja,nein"</formula1>
    </dataValidation>
    <dataValidation type="whole" errorStyle="information" allowBlank="1" showInputMessage="1" showErrorMessage="1" errorTitle="angebundene / integrierte KZP" promptTitle="angebundene / integrierte KZP" prompt="siehe allgemeine Hinweise des aktuell in der PSK abgestimmten Verhandlungsantrages für vollstationäre Pflegeeinrichtungen" sqref="L48" xr:uid="{00000000-0002-0000-0100-000004000000}">
      <formula1>1</formula1>
      <formula2>30</formula2>
    </dataValidation>
    <dataValidation type="date" errorStyle="warning" operator="greaterThan" allowBlank="1" showInputMessage="1" showErrorMessage="1" error="Laufzeitbeginn ab 01.01.2025 möglich." sqref="H52" xr:uid="{00000000-0002-0000-0100-000005000000}">
      <formula1>45657</formula1>
    </dataValidation>
  </dataValidations>
  <hyperlinks>
    <hyperlink ref="D76" location="'Anlage 1'!A1" display="Anlage 1" xr:uid="{00000000-0004-0000-0100-000000000000}"/>
    <hyperlink ref="D76:J76" location="B2_Kalkulation!A1" display="gehe weiter zu B2_Kalkulation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/>
  <headerFooter>
    <oddHeader>&amp;C&amp;9Seite 1</oddHeader>
    <oddFooter>&amp;L&amp;8Version: 21.11.2024&amp;C&amp;8Verhandlungsunterlagen SGB XI (vereinfacht B2)&amp;R&amp;8PSK-Beschluss vom 07.11.2024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828675</xdr:colOff>
                    <xdr:row>41</xdr:row>
                    <xdr:rowOff>38100</xdr:rowOff>
                  </from>
                  <to>
                    <xdr:col>9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266700</xdr:colOff>
                    <xdr:row>48</xdr:row>
                    <xdr:rowOff>133350</xdr:rowOff>
                  </from>
                  <to>
                    <xdr:col>12</xdr:col>
                    <xdr:colOff>485775</xdr:colOff>
                    <xdr:row>50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28D3207-20B2-47BF-B59E-943C5B58A138}">
            <xm:f>KAT!$A$177="nein"</xm:f>
            <x14:dxf>
              <fill>
                <patternFill>
                  <bgColor theme="0"/>
                </patternFill>
              </fill>
            </x14:dxf>
          </x14:cfRule>
          <xm:sqref>D7:G7 J9 K45:K46 H49 L53 L55 K68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440" yWindow="523" count="3">
        <x14:dataValidation type="list" allowBlank="1" showInputMessage="1" showErrorMessage="1" errorTitle="Einrichtungsart" error="bitte aus Liste auswählen" promptTitle="Auswahlmöglichkeit" prompt="teilstationäre Pflege_x000a_Kurzzeitpflege_x000a_vollstationäre Pflege_x000a_Wohnpflegeheim_x000a_Wachkoma_x000a_4. Generation_x000a_" xr:uid="{00000000-0002-0000-0100-000006000000}">
          <x14:formula1>
            <xm:f>KAT!$A$2:$A$7</xm:f>
          </x14:formula1>
          <xm:sqref>D6:G6</xm:sqref>
        </x14:dataValidation>
        <x14:dataValidation type="list" allowBlank="1" showInputMessage="1" showErrorMessage="1" errorTitle="Auswahlmöglichkeit" error="Bitte aus Liste wählen!" xr:uid="{00000000-0002-0000-0100-000007000000}">
          <x14:formula1>
            <xm:f>KAT!$F$2:$F$4</xm:f>
          </x14:formula1>
          <xm:sqref>C41</xm:sqref>
        </x14:dataValidation>
        <x14:dataValidation type="list" allowBlank="1" showInputMessage="1" showErrorMessage="1" xr:uid="{00000000-0002-0000-0100-000008000000}">
          <x14:formula1>
            <xm:f>KAT!$A$10:$A$11</xm:f>
          </x14:formula1>
          <xm:sqref>H8:K8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74"/>
  <sheetViews>
    <sheetView showGridLines="0" zoomScale="90" zoomScaleNormal="90" workbookViewId="0">
      <selection activeCell="I24" sqref="I24"/>
    </sheetView>
  </sheetViews>
  <sheetFormatPr baseColWidth="10" defaultRowHeight="14.25" x14ac:dyDescent="0.2"/>
  <cols>
    <col min="1" max="1" width="4.375" customWidth="1"/>
    <col min="2" max="2" width="20.875" customWidth="1"/>
    <col min="3" max="3" width="19" customWidth="1"/>
    <col min="4" max="4" width="17.625" customWidth="1"/>
    <col min="5" max="5" width="20.625" customWidth="1"/>
    <col min="6" max="6" width="17.625" customWidth="1"/>
    <col min="7" max="7" width="2.375" customWidth="1"/>
    <col min="8" max="8" width="21.625" customWidth="1"/>
    <col min="9" max="10" width="17.625" customWidth="1"/>
    <col min="11" max="11" width="20.625" customWidth="1"/>
    <col min="12" max="13" width="17.625" customWidth="1"/>
    <col min="14" max="18" width="10.625" customWidth="1"/>
    <col min="19" max="19" width="1.625" customWidth="1"/>
    <col min="20" max="20" width="11" customWidth="1"/>
    <col min="21" max="34" width="11" style="240" hidden="1" customWidth="1"/>
    <col min="35" max="46" width="11" customWidth="1"/>
  </cols>
  <sheetData>
    <row r="1" spans="1:26" ht="15" x14ac:dyDescent="0.25">
      <c r="A1" s="1673" t="str">
        <f>'B2_Allgemeine Angaben'!A1:N1</f>
        <v>Vereinfachtes Verfahren der Aufforderung zum Abschluss einer Pflegesatzvereinbarung gemäß § 84, 85 SGB XI (Stand 31.10.2024)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934"/>
      <c r="S1" s="315"/>
      <c r="U1" s="560" t="s">
        <v>543</v>
      </c>
      <c r="V1" s="551"/>
      <c r="W1" s="552"/>
      <c r="X1" s="553"/>
      <c r="Y1" s="554"/>
      <c r="Z1" s="554"/>
    </row>
    <row r="2" spans="1:26" ht="15" x14ac:dyDescent="0.25">
      <c r="A2" s="1675" t="s">
        <v>324</v>
      </c>
      <c r="B2" s="1676"/>
      <c r="C2" s="1676"/>
      <c r="D2" s="1676"/>
      <c r="E2" s="1676"/>
      <c r="F2" s="1676"/>
      <c r="G2" s="1676"/>
      <c r="H2" s="1676"/>
      <c r="I2" s="1676"/>
      <c r="J2" s="1676"/>
      <c r="K2" s="1676"/>
      <c r="L2" s="1676"/>
      <c r="M2" s="1676"/>
      <c r="N2" s="1676"/>
      <c r="O2" s="1676"/>
      <c r="P2" s="1676"/>
      <c r="Q2" s="1676"/>
      <c r="R2" s="935"/>
      <c r="S2" s="411"/>
      <c r="U2" s="568" t="s">
        <v>547</v>
      </c>
    </row>
    <row r="3" spans="1:26" ht="15" x14ac:dyDescent="0.25">
      <c r="A3" s="412"/>
      <c r="B3" s="200" t="s">
        <v>401</v>
      </c>
      <c r="C3" s="380">
        <f>'B2_Allgemeine Angaben'!D12:D12</f>
        <v>0</v>
      </c>
      <c r="D3" s="201"/>
      <c r="E3" s="315"/>
      <c r="F3" s="245"/>
      <c r="G3" s="245"/>
      <c r="H3" s="245"/>
      <c r="I3" s="245"/>
      <c r="J3" s="245"/>
      <c r="K3" s="245" t="s">
        <v>449</v>
      </c>
      <c r="L3" s="245">
        <f>IFERROR('B2_Allgemeine Angaben'!L7:L7,"")</f>
        <v>0</v>
      </c>
      <c r="M3" s="245"/>
      <c r="N3" s="245"/>
      <c r="O3" s="200" t="s">
        <v>2</v>
      </c>
      <c r="P3" s="201"/>
      <c r="Q3" s="1685">
        <f>'B2_Allgemeine Angaben'!L6:L6</f>
        <v>0</v>
      </c>
      <c r="R3" s="1685"/>
      <c r="S3" s="315"/>
      <c r="U3" s="240" t="s">
        <v>544</v>
      </c>
    </row>
    <row r="4" spans="1:26" ht="15" x14ac:dyDescent="0.25">
      <c r="A4" s="413"/>
      <c r="B4" s="316" t="s">
        <v>402</v>
      </c>
      <c r="C4" s="317">
        <f>'B2_Allgemeine Angaben'!D16:D16</f>
        <v>0</v>
      </c>
      <c r="D4" s="314"/>
      <c r="E4" s="318"/>
      <c r="F4" s="245"/>
      <c r="G4" s="245"/>
      <c r="H4" s="245"/>
      <c r="I4" s="245"/>
      <c r="J4" s="245"/>
      <c r="K4" s="245"/>
      <c r="L4" s="245"/>
      <c r="M4" s="245"/>
      <c r="N4" s="245"/>
      <c r="O4" s="313" t="s">
        <v>335</v>
      </c>
      <c r="P4" s="314"/>
      <c r="Q4" s="1686">
        <f>'B2_Allgemeine Angaben'!L4:L4</f>
        <v>0</v>
      </c>
      <c r="R4" s="1686"/>
      <c r="S4" s="318"/>
      <c r="U4" s="240" t="s">
        <v>545</v>
      </c>
    </row>
    <row r="5" spans="1:26" ht="9" customHeight="1" x14ac:dyDescent="0.2">
      <c r="A5" s="9"/>
      <c r="N5" s="210"/>
      <c r="S5" s="8"/>
      <c r="U5" s="240" t="s">
        <v>336</v>
      </c>
    </row>
    <row r="6" spans="1:26" x14ac:dyDescent="0.2">
      <c r="A6" s="9"/>
      <c r="B6" s="194" t="s">
        <v>165</v>
      </c>
      <c r="D6" s="401"/>
      <c r="E6" s="1"/>
      <c r="H6" s="194" t="s">
        <v>28</v>
      </c>
      <c r="I6" s="402"/>
      <c r="K6" s="194" t="s">
        <v>1</v>
      </c>
      <c r="L6" s="186" t="str">
        <f>IF('B2_Allgemeine Angaben'!D6&gt;0,'B2_Allgemeine Angaben'!D6,"")</f>
        <v/>
      </c>
      <c r="M6" s="229"/>
      <c r="N6" s="210"/>
      <c r="S6" s="8"/>
      <c r="U6" s="240" t="s">
        <v>546</v>
      </c>
    </row>
    <row r="7" spans="1:26" ht="14.25" customHeight="1" x14ac:dyDescent="0.25">
      <c r="A7" s="9"/>
      <c r="B7" s="194" t="s">
        <v>1080</v>
      </c>
      <c r="C7" s="646">
        <f>IF('B2_Allgemeine Angaben'!K45-3&gt;24,24,'B2_Allgemeine Angaben'!K45-3)</f>
        <v>-3</v>
      </c>
      <c r="D7" s="639"/>
      <c r="E7" s="640" t="s">
        <v>695</v>
      </c>
      <c r="F7" s="674" t="e">
        <f>D7/('B2_Allgemeine Angaben'!L47*365/12*C7)</f>
        <v>#DIV/0!</v>
      </c>
      <c r="N7" s="210"/>
      <c r="S7" s="8"/>
    </row>
    <row r="8" spans="1:26" ht="15" x14ac:dyDescent="0.25">
      <c r="A8" s="9"/>
      <c r="B8" s="33" t="s">
        <v>451</v>
      </c>
      <c r="H8" s="812" t="s">
        <v>934</v>
      </c>
      <c r="I8" s="10"/>
      <c r="J8" s="10"/>
      <c r="K8" s="10"/>
      <c r="L8" s="10"/>
      <c r="M8" s="10"/>
      <c r="N8" s="573"/>
      <c r="O8" s="10"/>
      <c r="P8" s="10"/>
      <c r="Q8" s="10"/>
      <c r="R8" s="10"/>
      <c r="S8" s="129"/>
      <c r="U8" s="240" t="s">
        <v>548</v>
      </c>
      <c r="V8" s="555"/>
    </row>
    <row r="9" spans="1:26" ht="5.25" customHeight="1" x14ac:dyDescent="0.2">
      <c r="A9" s="9"/>
      <c r="D9" s="196"/>
      <c r="H9" s="9"/>
      <c r="J9" s="196"/>
      <c r="N9" s="210"/>
      <c r="S9" s="8"/>
    </row>
    <row r="10" spans="1:26" x14ac:dyDescent="0.2">
      <c r="A10" s="9"/>
      <c r="B10" t="s">
        <v>452</v>
      </c>
      <c r="C10" s="195" t="s">
        <v>252</v>
      </c>
      <c r="D10" s="372">
        <f>IFERROR('B2_Allgemeine Angaben'!H54,"")</f>
        <v>0</v>
      </c>
      <c r="E10" s="195" t="s">
        <v>139</v>
      </c>
      <c r="F10" s="372">
        <f>IFERROR('B2_Allgemeine Angaben'!K54,"")</f>
        <v>0</v>
      </c>
      <c r="H10" s="233" t="s">
        <v>935</v>
      </c>
      <c r="I10" s="195" t="s">
        <v>252</v>
      </c>
      <c r="J10" s="197" t="str">
        <f>IF('B2_Allgemeine Angaben'!H52=0,"",'B2_Allgemeine Angaben'!H52)</f>
        <v/>
      </c>
      <c r="K10" s="195" t="s">
        <v>139</v>
      </c>
      <c r="L10" s="197" t="str">
        <f>IF('B2_Allgemeine Angaben'!K52=0,"",'B2_Allgemeine Angaben'!K52)</f>
        <v/>
      </c>
      <c r="M10" s="241"/>
      <c r="N10" s="814" t="str">
        <f>IF(Q12&gt;'B2_Allgemeine Angaben'!H52,"Stichtag bitte prüfen.","")</f>
        <v/>
      </c>
      <c r="Q10" s="210"/>
      <c r="R10" s="210"/>
      <c r="S10" s="211"/>
      <c r="T10" s="210"/>
      <c r="U10" s="555"/>
    </row>
    <row r="11" spans="1:26" ht="9.9499999999999993" customHeight="1" x14ac:dyDescent="0.2">
      <c r="A11" s="192"/>
      <c r="B11" s="191"/>
      <c r="C11" s="191"/>
      <c r="D11" s="191"/>
      <c r="E11" s="191"/>
      <c r="F11" s="190"/>
      <c r="G11" s="191"/>
      <c r="H11" s="192"/>
      <c r="I11" s="191"/>
      <c r="J11" s="191"/>
      <c r="K11" s="191"/>
      <c r="L11" s="191"/>
      <c r="N11" s="1668" t="str">
        <f>IFERROR(IF(Q12&lt;DATE(YEAR('B2_Allgemeine Angaben'!H52),MONTH('B2_Allgemeine Angaben'!H52)-3,DAY('B2_Allgemeine Angaben'!H52)),"Stichtag, max. 3 Kalendermonate vor Laufzeitbeginn wählen.",""),"")</f>
        <v/>
      </c>
      <c r="O11" s="1668"/>
      <c r="P11" s="1668"/>
      <c r="Q11" s="1668"/>
      <c r="R11" s="813"/>
      <c r="S11" s="211"/>
      <c r="T11" s="210"/>
      <c r="U11" s="555"/>
    </row>
    <row r="12" spans="1:26" x14ac:dyDescent="0.2">
      <c r="A12" s="192"/>
      <c r="B12" s="187" t="s">
        <v>255</v>
      </c>
      <c r="C12" s="188"/>
      <c r="D12" s="188"/>
      <c r="E12" s="145" t="s">
        <v>265</v>
      </c>
      <c r="F12" s="145">
        <f>SUM(B14:F14)</f>
        <v>0</v>
      </c>
      <c r="H12" s="187" t="s">
        <v>255</v>
      </c>
      <c r="I12" s="188"/>
      <c r="J12" s="188"/>
      <c r="K12" s="145" t="s">
        <v>265</v>
      </c>
      <c r="L12" s="145">
        <f>SUM(H14:L14)</f>
        <v>0</v>
      </c>
      <c r="M12" s="377" t="str">
        <f>IF(L12&lt;&gt;'B2_Allgemeine Angaben'!L47,"Prognose entspricht nicht Platzzahl!","")</f>
        <v/>
      </c>
      <c r="N12" s="806" t="s">
        <v>921</v>
      </c>
      <c r="O12" s="806"/>
      <c r="P12" s="806"/>
      <c r="Q12" s="1646"/>
      <c r="R12" s="1647"/>
      <c r="S12" s="211"/>
      <c r="U12" s="555"/>
    </row>
    <row r="13" spans="1:26" ht="28.5" x14ac:dyDescent="0.2">
      <c r="A13" s="192"/>
      <c r="B13" s="189" t="s">
        <v>57</v>
      </c>
      <c r="C13" s="189" t="s">
        <v>58</v>
      </c>
      <c r="D13" s="189" t="s">
        <v>59</v>
      </c>
      <c r="E13" s="189" t="s">
        <v>60</v>
      </c>
      <c r="F13" s="189" t="s">
        <v>61</v>
      </c>
      <c r="H13" s="189" t="s">
        <v>57</v>
      </c>
      <c r="I13" s="189" t="s">
        <v>58</v>
      </c>
      <c r="J13" s="189" t="s">
        <v>59</v>
      </c>
      <c r="K13" s="189" t="s">
        <v>60</v>
      </c>
      <c r="L13" s="189" t="s">
        <v>61</v>
      </c>
      <c r="N13" s="805" t="s">
        <v>57</v>
      </c>
      <c r="O13" s="805" t="s">
        <v>58</v>
      </c>
      <c r="P13" s="805" t="s">
        <v>59</v>
      </c>
      <c r="Q13" s="805" t="s">
        <v>60</v>
      </c>
      <c r="R13" s="805" t="s">
        <v>61</v>
      </c>
      <c r="S13" s="211"/>
      <c r="U13" s="555"/>
    </row>
    <row r="14" spans="1:26" x14ac:dyDescent="0.2">
      <c r="A14" s="192"/>
      <c r="B14" s="402"/>
      <c r="C14" s="402"/>
      <c r="D14" s="402"/>
      <c r="E14" s="402"/>
      <c r="F14" s="402"/>
      <c r="H14" s="402"/>
      <c r="I14" s="402"/>
      <c r="J14" s="402"/>
      <c r="K14" s="402"/>
      <c r="L14" s="402"/>
      <c r="N14" s="402"/>
      <c r="O14" s="402"/>
      <c r="P14" s="402"/>
      <c r="Q14" s="402"/>
      <c r="R14" s="402"/>
      <c r="S14" s="211"/>
      <c r="U14" s="555"/>
    </row>
    <row r="15" spans="1:26" x14ac:dyDescent="0.2">
      <c r="A15" s="192"/>
      <c r="B15" s="287"/>
      <c r="C15" s="210"/>
      <c r="D15" s="210"/>
      <c r="E15" s="210"/>
      <c r="F15" s="211"/>
      <c r="H15" s="233"/>
      <c r="I15" s="210"/>
      <c r="J15" s="210"/>
      <c r="K15" s="210"/>
      <c r="L15" s="211"/>
      <c r="N15" s="210"/>
      <c r="O15" s="210"/>
      <c r="P15" s="210"/>
      <c r="Q15" s="210"/>
      <c r="R15" s="210"/>
      <c r="S15" s="211"/>
      <c r="U15" s="555"/>
    </row>
    <row r="16" spans="1:26" x14ac:dyDescent="0.2">
      <c r="A16" s="192"/>
      <c r="B16" s="193" t="s">
        <v>828</v>
      </c>
      <c r="C16" s="205"/>
      <c r="D16" s="373"/>
      <c r="E16" s="145" t="s">
        <v>265</v>
      </c>
      <c r="F16" s="229">
        <f>SUM(B17:F17)</f>
        <v>0</v>
      </c>
      <c r="H16" s="193" t="s">
        <v>828</v>
      </c>
      <c r="I16" s="205"/>
      <c r="J16" s="373"/>
      <c r="K16" s="145" t="s">
        <v>265</v>
      </c>
      <c r="L16" s="229">
        <f>SUM(H17:L17)</f>
        <v>0</v>
      </c>
      <c r="M16" s="377" t="str">
        <f>IF(L16&lt;&gt;'B2_Allgemeine Angaben'!L48,"Prognose entspricht nicht Platzzahl!","")</f>
        <v/>
      </c>
      <c r="N16" s="574"/>
      <c r="O16" s="374"/>
      <c r="P16" s="210"/>
      <c r="Q16" s="210"/>
      <c r="R16" s="210"/>
      <c r="S16" s="211"/>
      <c r="U16" s="555"/>
    </row>
    <row r="17" spans="1:31" x14ac:dyDescent="0.2">
      <c r="A17" s="192"/>
      <c r="B17" s="402"/>
      <c r="C17" s="402"/>
      <c r="D17" s="402"/>
      <c r="E17" s="402"/>
      <c r="F17" s="402"/>
      <c r="H17" s="402"/>
      <c r="I17" s="402"/>
      <c r="J17" s="402"/>
      <c r="K17" s="402"/>
      <c r="L17" s="402"/>
      <c r="N17" s="210"/>
      <c r="O17" s="210"/>
      <c r="P17" s="210"/>
      <c r="Q17" s="210"/>
      <c r="R17" s="210"/>
      <c r="S17" s="211"/>
      <c r="U17" s="555"/>
    </row>
    <row r="18" spans="1:31" ht="18.75" customHeight="1" thickBot="1" x14ac:dyDescent="0.25">
      <c r="A18" s="192"/>
      <c r="B18" s="9"/>
      <c r="F18" s="8"/>
      <c r="H18" s="9"/>
      <c r="I18" s="242"/>
      <c r="J18" s="243"/>
      <c r="K18" s="243"/>
      <c r="L18" s="8"/>
      <c r="M18" s="936" t="s">
        <v>489</v>
      </c>
      <c r="N18" s="580"/>
      <c r="P18" s="1687" t="s">
        <v>559</v>
      </c>
      <c r="Q18" s="1688"/>
      <c r="R18" s="1688"/>
      <c r="S18" s="1689"/>
      <c r="U18" s="555"/>
    </row>
    <row r="19" spans="1:31" ht="51.75" thickBot="1" x14ac:dyDescent="0.25">
      <c r="A19" s="192"/>
      <c r="B19" s="585" t="s">
        <v>267</v>
      </c>
      <c r="C19" s="183" t="s">
        <v>253</v>
      </c>
      <c r="D19" s="937" t="s">
        <v>266</v>
      </c>
      <c r="E19" s="586" t="s">
        <v>487</v>
      </c>
      <c r="F19" s="584"/>
      <c r="H19" s="585" t="s">
        <v>267</v>
      </c>
      <c r="I19" s="183" t="s">
        <v>253</v>
      </c>
      <c r="J19" s="937" t="s">
        <v>266</v>
      </c>
      <c r="K19" s="1417" t="s">
        <v>1346</v>
      </c>
      <c r="L19" s="587" t="str">
        <f>KAT!R103</f>
        <v/>
      </c>
      <c r="M19" s="1511"/>
      <c r="N19" s="583"/>
      <c r="O19" s="1512" t="s">
        <v>827</v>
      </c>
      <c r="P19" s="1690" t="s">
        <v>560</v>
      </c>
      <c r="Q19" s="1691"/>
      <c r="R19" s="1691"/>
      <c r="S19" s="1692"/>
      <c r="U19" s="590" t="s">
        <v>567</v>
      </c>
    </row>
    <row r="20" spans="1:31" x14ac:dyDescent="0.2">
      <c r="A20" s="192"/>
      <c r="B20" s="181" t="s">
        <v>57</v>
      </c>
      <c r="C20" s="403"/>
      <c r="D20" s="234" t="str">
        <f>IFERROR(ROUND(B14/C20,3),"")</f>
        <v/>
      </c>
      <c r="F20" s="8"/>
      <c r="H20" s="181" t="s">
        <v>57</v>
      </c>
      <c r="I20" s="404"/>
      <c r="J20" s="234" t="str">
        <f>IFERROR(ROUND(H14/I20,3),"")</f>
        <v/>
      </c>
      <c r="L20" s="676" t="str">
        <f>IF(M19&lt;&gt;0,KAT!T103,"")</f>
        <v/>
      </c>
      <c r="M20" s="281"/>
      <c r="N20" s="281"/>
      <c r="O20" s="398">
        <f>KAT!G81</f>
        <v>0</v>
      </c>
      <c r="P20" s="1693"/>
      <c r="Q20" s="1694"/>
      <c r="R20" s="1694"/>
      <c r="S20" s="1695"/>
      <c r="U20" s="555"/>
    </row>
    <row r="21" spans="1:31" ht="15" x14ac:dyDescent="0.25">
      <c r="A21" s="192"/>
      <c r="B21" s="181" t="s">
        <v>58</v>
      </c>
      <c r="C21" s="404"/>
      <c r="D21" s="234" t="str">
        <f>IFERROR(ROUND(C14/C21,3),"")</f>
        <v/>
      </c>
      <c r="F21" s="8"/>
      <c r="H21" s="181" t="s">
        <v>58</v>
      </c>
      <c r="I21" s="404"/>
      <c r="J21" s="234" t="str">
        <f>IFERROR(ROUND(I14/I21,3),"")</f>
        <v/>
      </c>
      <c r="K21" s="932" t="str">
        <f>IF(OR(AND(SUM(B2_Personalkostenübersicht!AP244:AR244)&gt;J26-N21,SUM(B2_Personalkostenübersicht!AP244:AR244)&lt;J26+N21),J26=0),"","Pflege-Personalrelationen bitte prüfen - es besteht keine Plausibilität")</f>
        <v/>
      </c>
      <c r="N21" s="927">
        <f>J26*0.2/100</f>
        <v>0</v>
      </c>
      <c r="O21" s="398">
        <f>KAT!G82</f>
        <v>0</v>
      </c>
      <c r="P21" s="1696"/>
      <c r="Q21" s="1697"/>
      <c r="R21" s="1697"/>
      <c r="S21" s="1698"/>
      <c r="U21" s="560" t="s">
        <v>530</v>
      </c>
    </row>
    <row r="22" spans="1:31" ht="15" customHeight="1" x14ac:dyDescent="0.2">
      <c r="A22" s="192"/>
      <c r="B22" s="181" t="s">
        <v>59</v>
      </c>
      <c r="C22" s="404"/>
      <c r="D22" s="234" t="str">
        <f>IFERROR(ROUND(D14/C22,3),"")</f>
        <v/>
      </c>
      <c r="F22" s="8"/>
      <c r="H22" s="181" t="s">
        <v>59</v>
      </c>
      <c r="I22" s="404"/>
      <c r="J22" s="234" t="str">
        <f>IFERROR(ROUND(J14/I22,3),"")</f>
        <v/>
      </c>
      <c r="K22" s="932" t="str">
        <f>IF(OR(AND(SUM(B2_Personalkostenübersicht!AP265:AR265)&gt;J27-N22,SUM(B2_Personalkostenübersicht!AP265:AR265)&lt;J27+N22),J27=0),"","Betreuungs-Personalrelation bitte prüfen - es besteht keine Plausibilität")</f>
        <v/>
      </c>
      <c r="L22" s="930"/>
      <c r="N22" s="927">
        <f>J27*0.2/100</f>
        <v>0</v>
      </c>
      <c r="O22" s="398">
        <f>KAT!G83</f>
        <v>0</v>
      </c>
      <c r="P22" s="1696"/>
      <c r="Q22" s="1697"/>
      <c r="R22" s="1697"/>
      <c r="S22" s="1698"/>
      <c r="U22" s="1669" t="s">
        <v>517</v>
      </c>
      <c r="V22" s="1669"/>
      <c r="W22" s="1669"/>
      <c r="X22" s="1669"/>
      <c r="Y22" s="1669"/>
      <c r="Z22" s="1669"/>
      <c r="AA22" s="1669"/>
      <c r="AB22" s="1669"/>
      <c r="AC22" s="1669"/>
      <c r="AD22" s="1669"/>
      <c r="AE22" s="1669"/>
    </row>
    <row r="23" spans="1:31" ht="15" x14ac:dyDescent="0.25">
      <c r="A23" s="192"/>
      <c r="B23" s="181" t="s">
        <v>60</v>
      </c>
      <c r="C23" s="404"/>
      <c r="D23" s="167" t="str">
        <f>IFERROR(ROUND(E14/C23,3),"")</f>
        <v/>
      </c>
      <c r="E23" s="184" t="s">
        <v>261</v>
      </c>
      <c r="F23" s="8"/>
      <c r="H23" s="181" t="s">
        <v>60</v>
      </c>
      <c r="I23" s="404"/>
      <c r="J23" s="234" t="str">
        <f>IFERROR(ROUND(K14/I23,3),"")</f>
        <v/>
      </c>
      <c r="K23" s="444" t="s">
        <v>261</v>
      </c>
      <c r="L23" s="379"/>
      <c r="M23" s="931" t="s">
        <v>489</v>
      </c>
      <c r="N23" s="580"/>
      <c r="O23" s="398">
        <f>KAT!G84</f>
        <v>0</v>
      </c>
      <c r="P23" s="1696"/>
      <c r="Q23" s="1697"/>
      <c r="R23" s="1697"/>
      <c r="S23" s="1698"/>
      <c r="U23" s="1669"/>
      <c r="V23" s="1669"/>
      <c r="W23" s="1669"/>
      <c r="X23" s="1669"/>
      <c r="Y23" s="1669"/>
      <c r="Z23" s="1669"/>
      <c r="AA23" s="1669"/>
      <c r="AB23" s="1669"/>
      <c r="AC23" s="1669"/>
      <c r="AD23" s="1669"/>
      <c r="AE23" s="1669"/>
    </row>
    <row r="24" spans="1:31" x14ac:dyDescent="0.2">
      <c r="A24" s="192"/>
      <c r="B24" s="181" t="s">
        <v>61</v>
      </c>
      <c r="C24" s="404"/>
      <c r="D24" s="167" t="str">
        <f>IFERROR(ROUND(F14/C24,3),"")</f>
        <v/>
      </c>
      <c r="E24" s="185" t="s">
        <v>264</v>
      </c>
      <c r="F24" s="145" t="s">
        <v>270</v>
      </c>
      <c r="H24" s="181" t="s">
        <v>61</v>
      </c>
      <c r="I24" s="404"/>
      <c r="J24" s="234" t="str">
        <f>IFERROR(ROUND(L14/I24,3),"")</f>
        <v/>
      </c>
      <c r="K24" s="445" t="s">
        <v>264</v>
      </c>
      <c r="L24" s="589" t="s">
        <v>270</v>
      </c>
      <c r="M24" s="281"/>
      <c r="N24" s="581"/>
      <c r="O24" s="398">
        <f>KAT!G85</f>
        <v>0</v>
      </c>
      <c r="P24" s="1696"/>
      <c r="Q24" s="1697"/>
      <c r="R24" s="1697"/>
      <c r="S24" s="1698"/>
      <c r="U24" s="240" t="s">
        <v>534</v>
      </c>
    </row>
    <row r="25" spans="1:31" x14ac:dyDescent="0.2">
      <c r="A25" s="192"/>
      <c r="B25" s="145" t="s">
        <v>313</v>
      </c>
      <c r="C25" s="371" t="str">
        <f>IF(D25&lt;&gt;J25,"PDL VK entspricht nicht RV","")</f>
        <v/>
      </c>
      <c r="D25" s="410"/>
      <c r="E25" s="185"/>
      <c r="F25" s="145"/>
      <c r="H25" s="235" t="s">
        <v>313</v>
      </c>
      <c r="I25" s="236"/>
      <c r="J25" s="237" t="str">
        <f>IF('B2_Allgemeine Angaben'!L47=0,"",KAT!D62)</f>
        <v/>
      </c>
      <c r="K25" s="238"/>
      <c r="L25" s="239"/>
      <c r="M25" s="210"/>
      <c r="N25" s="233"/>
      <c r="O25" s="235"/>
      <c r="P25" s="1696"/>
      <c r="Q25" s="1697"/>
      <c r="R25" s="1697"/>
      <c r="S25" s="1698"/>
      <c r="U25" s="240" t="s">
        <v>524</v>
      </c>
    </row>
    <row r="26" spans="1:31" ht="29.25" customHeight="1" thickBot="1" x14ac:dyDescent="0.25">
      <c r="A26" s="192"/>
      <c r="B26" s="875" t="str">
        <f>IF(KAT!A18=2,"FKQ Pflege - integr./angebundene KZP:",IF(KAT!A18=1,"FKQ Pflege:",""))</f>
        <v/>
      </c>
      <c r="C26" s="879"/>
      <c r="D26" s="168">
        <f>SUM(D20:D25)</f>
        <v>0</v>
      </c>
      <c r="E26" s="169" t="s">
        <v>263</v>
      </c>
      <c r="F26" s="406"/>
      <c r="G26" s="630"/>
      <c r="H26" s="876" t="str">
        <f>IF(KAT!A18=2,"FKQ Pflege - integr./angebundene KZP:",IF(KAT!A18=1,"FKQ Pflege:",""))</f>
        <v/>
      </c>
      <c r="I26" s="926">
        <f>IFERROR(B2_Personalkostenübersicht!C248,"")</f>
        <v>0</v>
      </c>
      <c r="J26" s="292">
        <f>IF('B2_Allgemeine Angaben'!D7&lt;&gt;"vst",SUM(J20:J24),SUM(J20:J25))</f>
        <v>0</v>
      </c>
      <c r="K26" s="169" t="s">
        <v>263</v>
      </c>
      <c r="L26" s="588">
        <f>B2_Personalkostenübersicht!S248</f>
        <v>0</v>
      </c>
      <c r="M26" s="576" t="s">
        <v>490</v>
      </c>
      <c r="N26" s="582"/>
      <c r="O26" s="399">
        <f>I26</f>
        <v>0</v>
      </c>
      <c r="P26" s="1699"/>
      <c r="Q26" s="1700"/>
      <c r="R26" s="1700"/>
      <c r="S26" s="1701"/>
      <c r="U26" s="240" t="s">
        <v>556</v>
      </c>
    </row>
    <row r="27" spans="1:31" ht="27" customHeight="1" thickTop="1" thickBot="1" x14ac:dyDescent="0.25">
      <c r="A27" s="192"/>
      <c r="B27" s="884" t="s">
        <v>256</v>
      </c>
      <c r="C27" s="885"/>
      <c r="D27" s="886">
        <f>IFERROR(ROUND($F$12/C27,3),0)</f>
        <v>0</v>
      </c>
      <c r="E27" s="887" t="str">
        <f t="shared" ref="E27:E31" si="0">B27</f>
        <v>Betreuung:</v>
      </c>
      <c r="F27" s="888"/>
      <c r="G27" s="630"/>
      <c r="H27" s="181" t="s">
        <v>256</v>
      </c>
      <c r="I27" s="404"/>
      <c r="J27" s="293">
        <f>IFERROR(ROUND($L$12/I27,3),0)</f>
        <v>0</v>
      </c>
      <c r="K27" s="169" t="str">
        <f t="shared" ref="K27:K31" si="1">H27</f>
        <v>Betreuung:</v>
      </c>
      <c r="L27" s="588">
        <f>B2_Personalkostenübersicht!S266</f>
        <v>0</v>
      </c>
      <c r="M27" s="576" t="s">
        <v>490</v>
      </c>
      <c r="N27" s="582"/>
      <c r="O27" s="173">
        <f>I27</f>
        <v>0</v>
      </c>
      <c r="P27" s="1702" t="s">
        <v>561</v>
      </c>
      <c r="Q27" s="1703"/>
      <c r="R27" s="1703"/>
      <c r="S27" s="1704"/>
      <c r="U27" s="240" t="s">
        <v>525</v>
      </c>
    </row>
    <row r="28" spans="1:31" ht="27" customHeight="1" thickBot="1" x14ac:dyDescent="0.25">
      <c r="A28" s="192"/>
      <c r="B28" s="893" t="s">
        <v>1098</v>
      </c>
      <c r="C28" s="1418"/>
      <c r="D28" s="1637" t="s">
        <v>1099</v>
      </c>
      <c r="E28" s="1638"/>
      <c r="F28" s="1639"/>
      <c r="G28" s="630"/>
      <c r="H28" s="893" t="s">
        <v>1098</v>
      </c>
      <c r="I28" s="925" t="str">
        <f>IFERROR(B2_Personalkostenübersicht!C267,"")</f>
        <v/>
      </c>
      <c r="J28" s="1637" t="s">
        <v>1099</v>
      </c>
      <c r="K28" s="1638"/>
      <c r="L28" s="1639"/>
      <c r="M28" s="880"/>
      <c r="N28" s="582"/>
      <c r="O28" s="173"/>
      <c r="P28" s="881"/>
      <c r="Q28" s="882"/>
      <c r="R28" s="882"/>
      <c r="S28" s="883"/>
    </row>
    <row r="29" spans="1:31" x14ac:dyDescent="0.2">
      <c r="A29" s="192"/>
      <c r="B29" s="889" t="s">
        <v>257</v>
      </c>
      <c r="C29" s="403"/>
      <c r="D29" s="890">
        <f>IFERROR(ROUND($F$12/C29,3),0)</f>
        <v>0</v>
      </c>
      <c r="E29" s="891" t="str">
        <f t="shared" si="0"/>
        <v>Leitung/Verwaltung:</v>
      </c>
      <c r="F29" s="892"/>
      <c r="G29" s="630"/>
      <c r="H29" s="181" t="s">
        <v>257</v>
      </c>
      <c r="I29" s="283">
        <f t="shared" ref="I29:I32" si="2">C29</f>
        <v>0</v>
      </c>
      <c r="J29" s="293">
        <f t="shared" ref="J29:J32" si="3">IFERROR(ROUND($L$12/I29,3),0)</f>
        <v>0</v>
      </c>
      <c r="K29" s="169" t="str">
        <f t="shared" si="1"/>
        <v>Leitung/Verwaltung:</v>
      </c>
      <c r="L29" s="626">
        <f>IF(F29=0,0,IF(F29&lt;KAT!$E$126,KAT!$C$126*B2_Kalkulation!M29+KAT!$C$126,IF(F29&gt;KAT!$C$126,F29*B2_Kalkulation!M29+F29)))</f>
        <v>0</v>
      </c>
      <c r="M29" s="577"/>
      <c r="N29" s="583"/>
      <c r="O29" s="173">
        <f t="shared" ref="O29:O32" si="4">I29</f>
        <v>0</v>
      </c>
      <c r="P29" s="1657"/>
      <c r="Q29" s="1658"/>
      <c r="R29" s="1658"/>
      <c r="S29" s="1659"/>
      <c r="U29" s="240" t="s">
        <v>535</v>
      </c>
    </row>
    <row r="30" spans="1:31" x14ac:dyDescent="0.2">
      <c r="A30" s="192"/>
      <c r="B30" s="181" t="s">
        <v>258</v>
      </c>
      <c r="C30" s="404"/>
      <c r="D30" s="167">
        <f>IFERROR(ROUND($F$12/C30,3),0)</f>
        <v>0</v>
      </c>
      <c r="E30" s="169" t="str">
        <f t="shared" si="0"/>
        <v>Hauswirtschaft:</v>
      </c>
      <c r="F30" s="406"/>
      <c r="G30" s="630"/>
      <c r="H30" s="181" t="s">
        <v>258</v>
      </c>
      <c r="I30" s="283">
        <f t="shared" si="2"/>
        <v>0</v>
      </c>
      <c r="J30" s="293">
        <f t="shared" si="3"/>
        <v>0</v>
      </c>
      <c r="K30" s="169" t="str">
        <f t="shared" si="1"/>
        <v>Hauswirtschaft:</v>
      </c>
      <c r="L30" s="627">
        <f>IF(AND('B2_Allgemeine Angaben'!G7=1,B2_Personalkostenübersicht!S329&gt;0),B2_Personalkostenübersicht!S329,KAT!D136)</f>
        <v>0</v>
      </c>
      <c r="M30" s="578"/>
      <c r="N30" s="583"/>
      <c r="O30" s="173">
        <f t="shared" si="4"/>
        <v>0</v>
      </c>
      <c r="P30" s="1660"/>
      <c r="Q30" s="1661"/>
      <c r="R30" s="1661"/>
      <c r="S30" s="1662"/>
      <c r="U30" s="240" t="s">
        <v>518</v>
      </c>
    </row>
    <row r="31" spans="1:31" x14ac:dyDescent="0.2">
      <c r="A31" s="192"/>
      <c r="B31" s="181" t="s">
        <v>259</v>
      </c>
      <c r="C31" s="404"/>
      <c r="D31" s="167">
        <f>IFERROR(ROUND($F$12/C31,3),0)</f>
        <v>0</v>
      </c>
      <c r="E31" s="169" t="str">
        <f t="shared" si="0"/>
        <v>Küche:</v>
      </c>
      <c r="F31" s="406"/>
      <c r="G31" s="630"/>
      <c r="H31" s="181" t="s">
        <v>259</v>
      </c>
      <c r="I31" s="283">
        <f t="shared" si="2"/>
        <v>0</v>
      </c>
      <c r="J31" s="293">
        <f t="shared" si="3"/>
        <v>0</v>
      </c>
      <c r="K31" s="169" t="str">
        <f t="shared" si="1"/>
        <v>Küche:</v>
      </c>
      <c r="L31" s="627">
        <f>IF(AND('B2_Allgemeine Angaben'!G7=1,B2_Personalkostenübersicht!S362&gt;0),B2_Personalkostenübersicht!S362,KAT!D137)</f>
        <v>0</v>
      </c>
      <c r="M31" s="578"/>
      <c r="N31" s="583"/>
      <c r="O31" s="173">
        <f t="shared" si="4"/>
        <v>0</v>
      </c>
      <c r="P31" s="1660"/>
      <c r="Q31" s="1661"/>
      <c r="R31" s="1661"/>
      <c r="S31" s="1662"/>
      <c r="U31" s="240" t="s">
        <v>527</v>
      </c>
    </row>
    <row r="32" spans="1:31" x14ac:dyDescent="0.2">
      <c r="A32" s="192"/>
      <c r="B32" s="181" t="s">
        <v>260</v>
      </c>
      <c r="C32" s="404"/>
      <c r="D32" s="167">
        <f>IFERROR(ROUND($F$12/C32,3),0)</f>
        <v>0</v>
      </c>
      <c r="E32" s="170" t="str">
        <f>B32</f>
        <v>Haustechnik:</v>
      </c>
      <c r="F32" s="406"/>
      <c r="G32" s="630"/>
      <c r="H32" s="181" t="s">
        <v>260</v>
      </c>
      <c r="I32" s="283">
        <f t="shared" si="2"/>
        <v>0</v>
      </c>
      <c r="J32" s="293">
        <f t="shared" si="3"/>
        <v>0</v>
      </c>
      <c r="K32" s="170" t="str">
        <f>H32</f>
        <v>Haustechnik:</v>
      </c>
      <c r="L32" s="626">
        <f>IF(F32=0,0,IF(F32&lt;KAT!$E$173,KAT!$C$173*B2_Kalkulation!M32+KAT!$C$173,IF(F32&gt;KAT!$C$173,F32*B2_Kalkulation!M32+F32)))</f>
        <v>0</v>
      </c>
      <c r="M32" s="579"/>
      <c r="N32" s="583"/>
      <c r="O32" s="173">
        <f t="shared" si="4"/>
        <v>0</v>
      </c>
      <c r="P32" s="1660"/>
      <c r="Q32" s="1661"/>
      <c r="R32" s="1661"/>
      <c r="S32" s="1662"/>
      <c r="U32" s="240" t="s">
        <v>528</v>
      </c>
    </row>
    <row r="33" spans="1:26" ht="29.25" customHeight="1" x14ac:dyDescent="0.2">
      <c r="A33" s="192"/>
      <c r="B33" s="1683" t="s">
        <v>269</v>
      </c>
      <c r="C33" s="1684"/>
      <c r="D33" s="405"/>
      <c r="E33" s="170" t="str">
        <f>B33</f>
        <v>Freiwillige Dienste/ FSJ Einsatz:</v>
      </c>
      <c r="F33" s="407"/>
      <c r="G33" s="630"/>
      <c r="H33" s="1683" t="s">
        <v>268</v>
      </c>
      <c r="I33" s="1684"/>
      <c r="J33" s="405"/>
      <c r="K33" s="170" t="str">
        <f>H33</f>
        <v>Freiwillige Dienste/FSJ Einsatz:</v>
      </c>
      <c r="L33" s="628">
        <f>IF(F33=0,0,F33*B2_Kalkulation!M33+F33)</f>
        <v>0</v>
      </c>
      <c r="M33" s="575"/>
      <c r="N33" s="583"/>
      <c r="O33" s="400"/>
      <c r="P33" s="1660"/>
      <c r="Q33" s="1661"/>
      <c r="R33" s="1661"/>
      <c r="S33" s="1662"/>
      <c r="U33" s="563" t="s">
        <v>529</v>
      </c>
    </row>
    <row r="34" spans="1:26" ht="42.75" customHeight="1" x14ac:dyDescent="0.2">
      <c r="A34" s="192"/>
      <c r="B34" s="182" t="s">
        <v>262</v>
      </c>
      <c r="C34" s="173">
        <v>20</v>
      </c>
      <c r="D34" s="167">
        <f>$F$12/C34</f>
        <v>0</v>
      </c>
      <c r="E34" s="170" t="s">
        <v>262</v>
      </c>
      <c r="F34" s="406"/>
      <c r="G34" s="630"/>
      <c r="H34" s="182" t="s">
        <v>254</v>
      </c>
      <c r="I34" s="173">
        <v>20</v>
      </c>
      <c r="J34" s="174">
        <f>IFERROR(ROUND($L$12/I34,3),"")</f>
        <v>0</v>
      </c>
      <c r="K34" s="170" t="s">
        <v>262</v>
      </c>
      <c r="L34" s="588">
        <f>B2_Personalkostenübersicht!S296</f>
        <v>0</v>
      </c>
      <c r="M34" s="576" t="s">
        <v>490</v>
      </c>
      <c r="N34" s="582"/>
      <c r="O34" s="173">
        <f>I34</f>
        <v>20</v>
      </c>
      <c r="P34" s="1663"/>
      <c r="Q34" s="1664"/>
      <c r="R34" s="1664"/>
      <c r="S34" s="1665"/>
      <c r="U34" s="562" t="s">
        <v>526</v>
      </c>
    </row>
    <row r="35" spans="1:26" ht="3" customHeight="1" x14ac:dyDescent="0.2">
      <c r="A35" s="192"/>
      <c r="B35" s="136"/>
      <c r="H35" s="9"/>
      <c r="M35" s="198"/>
      <c r="N35" s="198"/>
      <c r="O35" s="199"/>
      <c r="S35" s="8"/>
    </row>
    <row r="36" spans="1:26" ht="15" x14ac:dyDescent="0.25">
      <c r="A36" s="414"/>
      <c r="B36" s="200" t="s">
        <v>95</v>
      </c>
      <c r="C36" s="201"/>
      <c r="D36" s="201"/>
      <c r="E36" s="201"/>
      <c r="F36" s="205"/>
      <c r="H36" s="222" t="s">
        <v>95</v>
      </c>
      <c r="I36" s="223"/>
      <c r="J36" s="223"/>
      <c r="K36" s="223"/>
      <c r="L36" s="290"/>
      <c r="M36" s="524"/>
      <c r="N36" s="625"/>
      <c r="O36" s="286"/>
      <c r="P36" s="1643" t="s">
        <v>562</v>
      </c>
      <c r="Q36" s="1666"/>
      <c r="R36" s="1666"/>
      <c r="S36" s="1667"/>
      <c r="U36" s="567" t="s">
        <v>532</v>
      </c>
    </row>
    <row r="37" spans="1:26" x14ac:dyDescent="0.2">
      <c r="A37" s="415"/>
      <c r="B37" s="202" t="s">
        <v>274</v>
      </c>
      <c r="C37" s="136" t="s">
        <v>38</v>
      </c>
      <c r="D37" s="130"/>
      <c r="E37" s="138"/>
      <c r="F37" s="408"/>
      <c r="G37" s="9"/>
      <c r="H37" s="285" t="s">
        <v>274</v>
      </c>
      <c r="I37" s="143" t="s">
        <v>38</v>
      </c>
      <c r="K37" s="8"/>
      <c r="L37" s="284">
        <f>IF($M$36&gt;KAT!$L$111,B2_Kalkulation!F37*KAT!$L$111+B2_Kalkulation!F37,IF(B2_Kalkulation!$M$36=0,F37,IF(B2_Kalkulation!$M$36&lt;(KAT!$L$111+0.0001%),B2_Kalkulation!F37*B2_Kalkulation!$M$36+B2_Kalkulation!F37)))</f>
        <v>0</v>
      </c>
      <c r="M37" s="633" t="str">
        <f>IFERROR(L37/'B2_Gesamtkalkulation '!$N$6,"")</f>
        <v/>
      </c>
      <c r="N37" s="289"/>
      <c r="O37" s="289"/>
      <c r="P37" s="1657"/>
      <c r="Q37" s="1658"/>
      <c r="R37" s="1658"/>
      <c r="S37" s="1659"/>
      <c r="U37" s="240" t="s">
        <v>541</v>
      </c>
    </row>
    <row r="38" spans="1:26" x14ac:dyDescent="0.2">
      <c r="A38" s="416"/>
      <c r="B38" s="203" t="s">
        <v>275</v>
      </c>
      <c r="C38" s="136" t="s">
        <v>271</v>
      </c>
      <c r="D38" s="130"/>
      <c r="E38" s="138"/>
      <c r="F38" s="408"/>
      <c r="G38" s="9"/>
      <c r="H38" s="206" t="s">
        <v>275</v>
      </c>
      <c r="I38" s="136" t="s">
        <v>271</v>
      </c>
      <c r="J38" s="130"/>
      <c r="K38" s="138"/>
      <c r="L38" s="284">
        <f>IF($M$36&gt;KAT!$L$111,B2_Kalkulation!F38*KAT!$L$111+B2_Kalkulation!F38,IF(B2_Kalkulation!$M$36=0,F38,IF(B2_Kalkulation!$M$36&lt;(KAT!$L$111+0.0001%),B2_Kalkulation!F38*B2_Kalkulation!$M$36+B2_Kalkulation!F38)))</f>
        <v>0</v>
      </c>
      <c r="M38" s="633" t="str">
        <f>IFERROR(L38/'B2_Gesamtkalkulation '!$N$6,"")</f>
        <v/>
      </c>
      <c r="N38" s="289"/>
      <c r="O38" s="289"/>
      <c r="P38" s="1660"/>
      <c r="Q38" s="1661"/>
      <c r="R38" s="1661"/>
      <c r="S38" s="1662"/>
    </row>
    <row r="39" spans="1:26" x14ac:dyDescent="0.2">
      <c r="A39" s="416"/>
      <c r="B39" s="203" t="s">
        <v>276</v>
      </c>
      <c r="C39" s="136" t="s">
        <v>272</v>
      </c>
      <c r="D39" s="130"/>
      <c r="E39" s="138"/>
      <c r="F39" s="408"/>
      <c r="G39" s="9"/>
      <c r="H39" s="207" t="s">
        <v>276</v>
      </c>
      <c r="I39" s="136" t="s">
        <v>581</v>
      </c>
      <c r="J39" s="130"/>
      <c r="K39" s="138"/>
      <c r="L39" s="284">
        <f>IF($M$36&gt;KAT!$L$111,B2_Kalkulation!F39*KAT!$L$111+B2_Kalkulation!F39,IF(B2_Kalkulation!$M$36=0,F39,IF(B2_Kalkulation!$M$36&lt;(KAT!$L$111+0.0001%),B2_Kalkulation!F39*B2_Kalkulation!$M$36+B2_Kalkulation!F39)))</f>
        <v>0</v>
      </c>
      <c r="M39" s="633" t="str">
        <f>IFERROR(L39/'B2_Gesamtkalkulation '!$N$6,"")</f>
        <v/>
      </c>
      <c r="N39" s="289"/>
      <c r="O39" s="289"/>
      <c r="P39" s="1660"/>
      <c r="Q39" s="1661"/>
      <c r="R39" s="1661"/>
      <c r="S39" s="1662"/>
      <c r="U39" s="240" t="s">
        <v>533</v>
      </c>
    </row>
    <row r="40" spans="1:26" x14ac:dyDescent="0.2">
      <c r="A40" s="416"/>
      <c r="B40" s="204" t="s">
        <v>277</v>
      </c>
      <c r="C40" s="9" t="s">
        <v>43</v>
      </c>
      <c r="E40" s="8"/>
      <c r="F40" s="408"/>
      <c r="G40" s="9"/>
      <c r="H40" s="207" t="s">
        <v>277</v>
      </c>
      <c r="I40" s="136" t="s">
        <v>43</v>
      </c>
      <c r="J40" s="130"/>
      <c r="K40" s="138"/>
      <c r="L40" s="284">
        <f>IF($M$36&gt;KAT!$L$111,B2_Kalkulation!F40*KAT!$L$111+B2_Kalkulation!F40,IF(B2_Kalkulation!$M$36=0,F40,IF(B2_Kalkulation!$M$36&lt;(KAT!$L$111+0.0001%),B2_Kalkulation!F40*B2_Kalkulation!$M$36+B2_Kalkulation!F40)))</f>
        <v>0</v>
      </c>
      <c r="M40" s="633" t="str">
        <f>IFERROR(L40/'B2_Gesamtkalkulation '!$N$6,"")</f>
        <v/>
      </c>
      <c r="N40" s="289"/>
      <c r="O40" s="289"/>
      <c r="P40" s="1660"/>
      <c r="Q40" s="1661"/>
      <c r="R40" s="1661"/>
      <c r="S40" s="1662"/>
    </row>
    <row r="41" spans="1:26" x14ac:dyDescent="0.2">
      <c r="A41" s="416"/>
      <c r="B41" s="203" t="s">
        <v>278</v>
      </c>
      <c r="C41" s="136" t="s">
        <v>45</v>
      </c>
      <c r="D41" s="130"/>
      <c r="E41" s="138"/>
      <c r="F41" s="408"/>
      <c r="G41" s="9"/>
      <c r="H41" s="208" t="s">
        <v>278</v>
      </c>
      <c r="I41" s="9" t="s">
        <v>45</v>
      </c>
      <c r="K41" s="8"/>
      <c r="L41" s="284">
        <f>IF($M$36&gt;KAT!$L$111,B2_Kalkulation!F41*KAT!$L$111+B2_Kalkulation!F41,IF(B2_Kalkulation!$M$36=0,F41,IF(B2_Kalkulation!$M$36&lt;(KAT!$L$111+0.0001%),B2_Kalkulation!F41*B2_Kalkulation!$M$36+B2_Kalkulation!F41)))</f>
        <v>0</v>
      </c>
      <c r="M41" s="633" t="str">
        <f>IFERROR(L41/'B2_Gesamtkalkulation '!$N$6,"")</f>
        <v/>
      </c>
      <c r="N41" s="289"/>
      <c r="O41" s="289"/>
      <c r="P41" s="1660"/>
      <c r="Q41" s="1661"/>
      <c r="R41" s="1661"/>
      <c r="S41" s="1662"/>
      <c r="U41" s="240" t="s">
        <v>531</v>
      </c>
    </row>
    <row r="42" spans="1:26" x14ac:dyDescent="0.2">
      <c r="A42" s="416"/>
      <c r="B42" s="204" t="s">
        <v>279</v>
      </c>
      <c r="C42" s="9" t="s">
        <v>47</v>
      </c>
      <c r="E42" s="8"/>
      <c r="F42" s="408"/>
      <c r="G42" s="9"/>
      <c r="H42" s="207" t="s">
        <v>279</v>
      </c>
      <c r="I42" s="136" t="s">
        <v>47</v>
      </c>
      <c r="J42" s="130"/>
      <c r="K42" s="138"/>
      <c r="L42" s="284">
        <f>IF($M$36&gt;KAT!$L$111,B2_Kalkulation!F42*KAT!$L$111+B2_Kalkulation!F42,IF(B2_Kalkulation!$M$36=0,F42,IF(B2_Kalkulation!$M$36&lt;(KAT!$L$111+0.0001%),B2_Kalkulation!F42*B2_Kalkulation!$M$36+B2_Kalkulation!F42)))</f>
        <v>0</v>
      </c>
      <c r="M42" s="633" t="str">
        <f>IFERROR(L42/'B2_Gesamtkalkulation '!$N$6,"")</f>
        <v/>
      </c>
      <c r="N42" s="289"/>
      <c r="O42" s="289"/>
      <c r="P42" s="1660"/>
      <c r="Q42" s="1661"/>
      <c r="R42" s="1661"/>
      <c r="S42" s="1662"/>
    </row>
    <row r="43" spans="1:26" ht="15" x14ac:dyDescent="0.25">
      <c r="A43" s="416"/>
      <c r="B43" s="203" t="s">
        <v>280</v>
      </c>
      <c r="C43" s="136" t="s">
        <v>49</v>
      </c>
      <c r="D43" s="130"/>
      <c r="E43" s="138"/>
      <c r="F43" s="408"/>
      <c r="G43" s="9"/>
      <c r="H43" s="208" t="s">
        <v>280</v>
      </c>
      <c r="I43" s="9" t="s">
        <v>49</v>
      </c>
      <c r="K43" s="8"/>
      <c r="L43" s="284">
        <f>IF($M$36&gt;KAT!$L$111,B2_Kalkulation!F43*KAT!$L$111+B2_Kalkulation!F43,IF(B2_Kalkulation!$M$36=0,F43,IF(B2_Kalkulation!$M$36&lt;(KAT!$L$111+0.0001%),B2_Kalkulation!F43*B2_Kalkulation!$M$36+B2_Kalkulation!F43)))</f>
        <v>0</v>
      </c>
      <c r="M43" s="633" t="str">
        <f>IFERROR(L43/'B2_Gesamtkalkulation '!$N$6,"")</f>
        <v/>
      </c>
      <c r="N43" s="289"/>
      <c r="O43" s="289"/>
      <c r="P43" s="1660"/>
      <c r="Q43" s="1661"/>
      <c r="R43" s="1661"/>
      <c r="S43" s="1662"/>
      <c r="U43" s="565" t="s">
        <v>542</v>
      </c>
    </row>
    <row r="44" spans="1:26" x14ac:dyDescent="0.2">
      <c r="A44" s="416"/>
      <c r="B44" s="204" t="s">
        <v>281</v>
      </c>
      <c r="C44" s="9" t="s">
        <v>51</v>
      </c>
      <c r="E44" s="8"/>
      <c r="F44" s="408"/>
      <c r="G44" s="9"/>
      <c r="H44" s="207" t="s">
        <v>281</v>
      </c>
      <c r="I44" s="136" t="s">
        <v>51</v>
      </c>
      <c r="J44" s="130"/>
      <c r="K44" s="138"/>
      <c r="L44" s="284">
        <f>IF($M$36&gt;KAT!$L$111,B2_Kalkulation!F44*KAT!$L$111+B2_Kalkulation!F44,IF(B2_Kalkulation!$M$36=0,F44,IF(B2_Kalkulation!$M$36&lt;(KAT!$L$111+0.0001%),B2_Kalkulation!F44*B2_Kalkulation!$M$36+B2_Kalkulation!F44)))</f>
        <v>0</v>
      </c>
      <c r="M44" s="633" t="str">
        <f>IFERROR(L44/'B2_Gesamtkalkulation '!$N$6,"")</f>
        <v/>
      </c>
      <c r="N44" s="289"/>
      <c r="O44" s="289"/>
      <c r="P44" s="1660"/>
      <c r="Q44" s="1661"/>
      <c r="R44" s="1661"/>
      <c r="S44" s="1662"/>
      <c r="U44" s="566" t="s">
        <v>539</v>
      </c>
      <c r="V44" s="566"/>
      <c r="W44" s="556"/>
      <c r="X44" s="556"/>
      <c r="Y44" s="566" t="s">
        <v>519</v>
      </c>
      <c r="Z44" s="556"/>
    </row>
    <row r="45" spans="1:26" x14ac:dyDescent="0.2">
      <c r="A45" s="416"/>
      <c r="B45" s="203" t="s">
        <v>282</v>
      </c>
      <c r="C45" s="136" t="s">
        <v>53</v>
      </c>
      <c r="D45" s="130"/>
      <c r="E45" s="138"/>
      <c r="F45" s="408"/>
      <c r="G45" s="9"/>
      <c r="H45" s="208" t="s">
        <v>282</v>
      </c>
      <c r="I45" s="9" t="s">
        <v>53</v>
      </c>
      <c r="K45" s="8"/>
      <c r="L45" s="284">
        <f>IF($M$36&gt;KAT!$L$111,B2_Kalkulation!F45*KAT!$L$111+B2_Kalkulation!F45,IF(B2_Kalkulation!$M$36=0,F45,IF(B2_Kalkulation!$M$36&lt;(KAT!$L$111+0.0001%),B2_Kalkulation!F45*B2_Kalkulation!$M$36+B2_Kalkulation!F45)))</f>
        <v>0</v>
      </c>
      <c r="M45" s="633" t="str">
        <f>IFERROR(L45/'B2_Gesamtkalkulation '!$N$6,"")</f>
        <v/>
      </c>
      <c r="N45" s="289"/>
      <c r="O45" s="289"/>
      <c r="P45" s="1660"/>
      <c r="Q45" s="1661"/>
      <c r="R45" s="1661"/>
      <c r="S45" s="1662"/>
      <c r="V45" s="561">
        <v>0</v>
      </c>
      <c r="X45" s="561" t="s">
        <v>536</v>
      </c>
      <c r="Y45" s="561">
        <v>0</v>
      </c>
    </row>
    <row r="46" spans="1:26" x14ac:dyDescent="0.2">
      <c r="A46" s="416"/>
      <c r="B46" s="204" t="s">
        <v>283</v>
      </c>
      <c r="C46" s="143" t="s">
        <v>55</v>
      </c>
      <c r="E46" s="8"/>
      <c r="F46" s="408"/>
      <c r="G46" s="9"/>
      <c r="H46" s="207" t="s">
        <v>283</v>
      </c>
      <c r="I46" s="136" t="s">
        <v>55</v>
      </c>
      <c r="J46" s="130"/>
      <c r="K46" s="138"/>
      <c r="L46" s="284">
        <f>IF($M$36&gt;KAT!$L$111,B2_Kalkulation!F46*KAT!$L$111+B2_Kalkulation!F46,IF(B2_Kalkulation!$M$36=0,F46,IF(B2_Kalkulation!$M$36&lt;(KAT!$L$111+0.0001%),B2_Kalkulation!F46*B2_Kalkulation!$M$36+B2_Kalkulation!F46)))</f>
        <v>0</v>
      </c>
      <c r="M46" s="633" t="str">
        <f>IFERROR(L46/'B2_Gesamtkalkulation '!$N$6,"")</f>
        <v/>
      </c>
      <c r="N46" s="289"/>
      <c r="O46" s="289"/>
      <c r="P46" s="1660"/>
      <c r="Q46" s="1661"/>
      <c r="R46" s="1661"/>
      <c r="S46" s="1662"/>
      <c r="V46" s="240" t="s">
        <v>537</v>
      </c>
      <c r="Y46" s="240" t="s">
        <v>520</v>
      </c>
    </row>
    <row r="47" spans="1:26" x14ac:dyDescent="0.2">
      <c r="A47" s="416"/>
      <c r="B47" s="136"/>
      <c r="C47" s="130" t="s">
        <v>273</v>
      </c>
      <c r="D47" s="130"/>
      <c r="E47" s="138"/>
      <c r="F47" s="176">
        <f>SUM(F37:F46)</f>
        <v>0</v>
      </c>
      <c r="G47" s="9"/>
      <c r="H47" s="143"/>
      <c r="I47" s="54" t="s">
        <v>273</v>
      </c>
      <c r="J47" s="54"/>
      <c r="K47" s="54"/>
      <c r="L47" s="172">
        <f>SUM(L37:L46)</f>
        <v>0</v>
      </c>
      <c r="M47" s="634">
        <f>SUM(M37:M46)</f>
        <v>0</v>
      </c>
      <c r="N47" s="289"/>
      <c r="O47" s="289"/>
      <c r="P47" s="1660"/>
      <c r="Q47" s="1661"/>
      <c r="R47" s="1661"/>
      <c r="S47" s="1662"/>
      <c r="V47" s="240" t="s">
        <v>538</v>
      </c>
      <c r="Y47" s="240" t="s">
        <v>521</v>
      </c>
    </row>
    <row r="48" spans="1:26" ht="3" customHeight="1" x14ac:dyDescent="0.2">
      <c r="A48" s="192"/>
      <c r="H48" s="9"/>
      <c r="L48" s="134"/>
      <c r="P48" s="1663"/>
      <c r="Q48" s="1664"/>
      <c r="R48" s="1664"/>
      <c r="S48" s="1665"/>
    </row>
    <row r="49" spans="1:35" ht="15" x14ac:dyDescent="0.25">
      <c r="A49" s="192"/>
      <c r="B49" s="222" t="s">
        <v>284</v>
      </c>
      <c r="C49" s="223"/>
      <c r="D49" s="223"/>
      <c r="E49" s="223"/>
      <c r="F49" s="205"/>
      <c r="H49" s="222" t="s">
        <v>284</v>
      </c>
      <c r="I49" s="223"/>
      <c r="J49" s="223"/>
      <c r="K49" s="223"/>
      <c r="L49" s="291"/>
      <c r="M49" s="524"/>
      <c r="N49" s="856"/>
      <c r="O49" s="210"/>
      <c r="P49" s="1643" t="s">
        <v>563</v>
      </c>
      <c r="Q49" s="1666"/>
      <c r="R49" s="1666"/>
      <c r="S49" s="1667"/>
      <c r="U49" s="564" t="s">
        <v>549</v>
      </c>
    </row>
    <row r="50" spans="1:35" x14ac:dyDescent="0.2">
      <c r="A50" s="417"/>
      <c r="B50" s="224" t="s">
        <v>286</v>
      </c>
      <c r="C50" t="s">
        <v>32</v>
      </c>
      <c r="E50" s="8"/>
      <c r="F50" s="409"/>
      <c r="G50" s="9"/>
      <c r="H50" s="224" t="s">
        <v>286</v>
      </c>
      <c r="I50" t="s">
        <v>32</v>
      </c>
      <c r="K50" s="204"/>
      <c r="L50" s="171">
        <f>IF($M$49&gt;KAT!$L$112,B2_Kalkulation!F50*KAT!$L$112+B2_Kalkulation!F50,IF(B2_Kalkulation!$M$49=0,F50,IF(B2_Kalkulation!$M$49&lt;(KAT!$L$112+0.0001%),B2_Kalkulation!F50*B2_Kalkulation!$M$49+B2_Kalkulation!F50)))</f>
        <v>0</v>
      </c>
      <c r="M50" s="633" t="str">
        <f>IFERROR(L50/'B2_Gesamtkalkulation '!$N$6,"")</f>
        <v/>
      </c>
      <c r="N50" s="289"/>
      <c r="O50" s="289"/>
      <c r="P50" s="1657"/>
      <c r="Q50" s="1658"/>
      <c r="R50" s="1658"/>
      <c r="S50" s="1659"/>
      <c r="U50" s="566"/>
      <c r="V50" s="566"/>
      <c r="W50" s="556"/>
      <c r="X50" s="556"/>
      <c r="Y50" s="566"/>
      <c r="Z50" s="556"/>
    </row>
    <row r="51" spans="1:35" x14ac:dyDescent="0.2">
      <c r="A51" s="417"/>
      <c r="B51" s="225" t="s">
        <v>287</v>
      </c>
      <c r="C51" s="130" t="s">
        <v>34</v>
      </c>
      <c r="D51" s="130"/>
      <c r="E51" s="138"/>
      <c r="F51" s="409"/>
      <c r="G51" s="9"/>
      <c r="H51" s="225" t="s">
        <v>287</v>
      </c>
      <c r="I51" s="130" t="s">
        <v>34</v>
      </c>
      <c r="J51" s="130"/>
      <c r="K51" s="203"/>
      <c r="L51" s="171">
        <f>IF($M$49&gt;KAT!$L$112,B2_Kalkulation!F51*KAT!$L$112+B2_Kalkulation!F51,IF(B2_Kalkulation!$M$49=0,F51,IF(B2_Kalkulation!$M$49&lt;(KAT!$L$112+0.0001%),B2_Kalkulation!F51*B2_Kalkulation!$M$49+B2_Kalkulation!F51)))</f>
        <v>0</v>
      </c>
      <c r="M51" s="633" t="str">
        <f>IFERROR(L51/'B2_Gesamtkalkulation '!$N$6,"")</f>
        <v/>
      </c>
      <c r="N51" s="289"/>
      <c r="O51" s="289"/>
      <c r="P51" s="1660"/>
      <c r="Q51" s="1661"/>
      <c r="R51" s="1661"/>
      <c r="S51" s="1662"/>
      <c r="V51" s="561"/>
      <c r="X51" s="561"/>
      <c r="Y51" s="561"/>
    </row>
    <row r="52" spans="1:35" x14ac:dyDescent="0.2">
      <c r="A52" s="417"/>
      <c r="B52" s="225" t="s">
        <v>288</v>
      </c>
      <c r="C52" s="130" t="s">
        <v>323</v>
      </c>
      <c r="D52" s="130"/>
      <c r="E52" s="138"/>
      <c r="F52" s="409"/>
      <c r="G52" s="9"/>
      <c r="H52" s="226" t="s">
        <v>288</v>
      </c>
      <c r="I52" s="136" t="s">
        <v>323</v>
      </c>
      <c r="K52" s="204"/>
      <c r="L52" s="171">
        <f>IF($M$49&gt;KAT!$L$112,B2_Kalkulation!F52*KAT!$L$112+B2_Kalkulation!F52,IF(B2_Kalkulation!$M$49=0,F52,IF(B2_Kalkulation!$M$49&lt;(KAT!$L$112+0.0001%),B2_Kalkulation!F52*B2_Kalkulation!$M$49+B2_Kalkulation!F52)))</f>
        <v>0</v>
      </c>
      <c r="M52" s="633" t="str">
        <f>IFERROR(L52/'B2_Gesamtkalkulation '!$N$6,"")</f>
        <v/>
      </c>
      <c r="N52" s="289"/>
      <c r="O52" s="289"/>
      <c r="P52" s="1660"/>
      <c r="Q52" s="1661"/>
      <c r="R52" s="1661"/>
      <c r="S52" s="1662"/>
    </row>
    <row r="53" spans="1:35" x14ac:dyDescent="0.2">
      <c r="A53" s="417"/>
      <c r="B53" s="225" t="s">
        <v>289</v>
      </c>
      <c r="C53" t="s">
        <v>35</v>
      </c>
      <c r="D53" s="130"/>
      <c r="E53" s="138"/>
      <c r="F53" s="409"/>
      <c r="G53" s="9"/>
      <c r="H53" s="225" t="s">
        <v>289</v>
      </c>
      <c r="I53" t="s">
        <v>35</v>
      </c>
      <c r="J53" s="130"/>
      <c r="K53" s="203"/>
      <c r="L53" s="171">
        <f>IF($M$49&gt;KAT!$L$112,B2_Kalkulation!F53*KAT!$L$112+B2_Kalkulation!F53,IF(B2_Kalkulation!$M$49=0,F53,IF(B2_Kalkulation!$M$49&lt;(KAT!$L$112+0.0001%),B2_Kalkulation!F53*B2_Kalkulation!$M$49+B2_Kalkulation!F53)))</f>
        <v>0</v>
      </c>
      <c r="M53" s="633" t="str">
        <f>IFERROR(L53/'B2_Gesamtkalkulation '!$N$6,"")</f>
        <v/>
      </c>
      <c r="N53" s="289"/>
      <c r="O53" s="289"/>
      <c r="P53" s="1660"/>
      <c r="Q53" s="1661"/>
      <c r="R53" s="1661"/>
      <c r="S53" s="1662"/>
    </row>
    <row r="54" spans="1:35" x14ac:dyDescent="0.2">
      <c r="A54" s="417"/>
      <c r="B54" s="224" t="s">
        <v>290</v>
      </c>
      <c r="C54" s="130" t="s">
        <v>36</v>
      </c>
      <c r="E54" s="8"/>
      <c r="F54" s="409"/>
      <c r="G54" s="9"/>
      <c r="H54" s="224" t="s">
        <v>290</v>
      </c>
      <c r="I54" s="130" t="s">
        <v>36</v>
      </c>
      <c r="K54" s="204"/>
      <c r="L54" s="171">
        <f>IF($M$49&gt;KAT!$L$112,B2_Kalkulation!F54*KAT!$L$112+B2_Kalkulation!F54,IF(B2_Kalkulation!$M$49=0,F54,IF(B2_Kalkulation!$M$49&lt;(KAT!$L$112+0.0001%),B2_Kalkulation!F54*B2_Kalkulation!$M$49+B2_Kalkulation!F54)))</f>
        <v>0</v>
      </c>
      <c r="M54" s="633" t="str">
        <f>IFERROR(L54/'B2_Gesamtkalkulation '!$N$6,"")</f>
        <v/>
      </c>
      <c r="N54" s="289"/>
      <c r="O54" s="289"/>
      <c r="P54" s="1660"/>
      <c r="Q54" s="1661"/>
      <c r="R54" s="1661"/>
      <c r="S54" s="1662"/>
    </row>
    <row r="55" spans="1:35" x14ac:dyDescent="0.2">
      <c r="A55" s="417"/>
      <c r="B55" s="225" t="s">
        <v>291</v>
      </c>
      <c r="C55" t="s">
        <v>33</v>
      </c>
      <c r="D55" s="130"/>
      <c r="E55" s="138"/>
      <c r="F55" s="409"/>
      <c r="G55" s="9"/>
      <c r="H55" s="225" t="s">
        <v>291</v>
      </c>
      <c r="I55" t="s">
        <v>33</v>
      </c>
      <c r="J55" s="130"/>
      <c r="K55" s="203"/>
      <c r="L55" s="171">
        <f>IF($M$49&gt;KAT!$L$112,B2_Kalkulation!F55*KAT!$L$112+B2_Kalkulation!F55,IF(B2_Kalkulation!$M$49=0,F55,IF(B2_Kalkulation!$M$49&lt;(KAT!$L$112+0.0001%),B2_Kalkulation!F55*B2_Kalkulation!$M$49+B2_Kalkulation!F55)))</f>
        <v>0</v>
      </c>
      <c r="M55" s="633" t="str">
        <f>IFERROR(L55/'B2_Gesamtkalkulation '!$N$6,"")</f>
        <v/>
      </c>
      <c r="N55" s="289"/>
      <c r="O55" s="289"/>
      <c r="P55" s="1660"/>
      <c r="Q55" s="1661"/>
      <c r="R55" s="1661"/>
      <c r="S55" s="1662"/>
    </row>
    <row r="56" spans="1:35" x14ac:dyDescent="0.2">
      <c r="A56" s="417"/>
      <c r="B56" s="224" t="s">
        <v>292</v>
      </c>
      <c r="C56" s="130" t="s">
        <v>285</v>
      </c>
      <c r="E56" s="8"/>
      <c r="F56" s="409"/>
      <c r="G56" s="9"/>
      <c r="H56" s="224" t="s">
        <v>292</v>
      </c>
      <c r="I56" s="130" t="s">
        <v>285</v>
      </c>
      <c r="K56" s="204"/>
      <c r="L56" s="171">
        <f>IF($M$49&gt;KAT!$L$112,B2_Kalkulation!F56*KAT!$L$112+B2_Kalkulation!F56,IF(B2_Kalkulation!$M$49=0,F56,IF(B2_Kalkulation!$M$49&lt;(KAT!$L$112+0.0001%),B2_Kalkulation!F56*B2_Kalkulation!$M$49+B2_Kalkulation!F56)))</f>
        <v>0</v>
      </c>
      <c r="M56" s="633" t="str">
        <f>IFERROR(L56/'B2_Gesamtkalkulation '!$N$6,"")</f>
        <v/>
      </c>
      <c r="N56" s="289"/>
      <c r="O56" s="289"/>
      <c r="P56" s="1660"/>
      <c r="Q56" s="1661"/>
      <c r="R56" s="1661"/>
      <c r="S56" s="1662"/>
    </row>
    <row r="57" spans="1:35" x14ac:dyDescent="0.2">
      <c r="A57" s="416"/>
      <c r="B57" s="134"/>
      <c r="C57" s="130" t="s">
        <v>273</v>
      </c>
      <c r="D57" s="130"/>
      <c r="E57" s="138"/>
      <c r="F57" s="175">
        <f>IF('B2_Allgemeine Angaben'!D7&lt;&gt;"vst",SUM(B2_Kalkulation!F50:F51,B2_Kalkulation!F53:F56),SUM(F50:F56))</f>
        <v>0</v>
      </c>
      <c r="G57" s="418"/>
      <c r="H57" s="136"/>
      <c r="I57" s="136" t="s">
        <v>273</v>
      </c>
      <c r="J57" s="130"/>
      <c r="K57" s="130"/>
      <c r="L57" s="172">
        <f>SUM(L50:L56)</f>
        <v>0</v>
      </c>
      <c r="M57" s="634">
        <f>SUM(M50:M56)</f>
        <v>0</v>
      </c>
      <c r="N57" s="289"/>
      <c r="O57" s="289"/>
      <c r="P57" s="1663"/>
      <c r="Q57" s="1664"/>
      <c r="R57" s="1664"/>
      <c r="S57" s="1665"/>
    </row>
    <row r="58" spans="1:35" ht="9" customHeight="1" thickBot="1" x14ac:dyDescent="0.25">
      <c r="A58" s="418"/>
      <c r="F58" s="10"/>
      <c r="S58" s="8"/>
    </row>
    <row r="59" spans="1:35" s="209" customFormat="1" ht="15" x14ac:dyDescent="0.25">
      <c r="A59" s="419"/>
      <c r="B59" s="219" t="s">
        <v>293</v>
      </c>
      <c r="C59" s="220"/>
      <c r="D59" s="220"/>
      <c r="E59" s="220"/>
      <c r="F59" s="221"/>
      <c r="G59"/>
      <c r="H59" s="214"/>
      <c r="I59" s="1680" t="s">
        <v>297</v>
      </c>
      <c r="J59" s="1681"/>
      <c r="K59" s="1682"/>
      <c r="L59" s="227"/>
      <c r="P59" s="1643" t="s">
        <v>564</v>
      </c>
      <c r="Q59" s="1644"/>
      <c r="R59" s="1644"/>
      <c r="S59" s="1645"/>
      <c r="U59" s="557"/>
      <c r="V59" s="557"/>
      <c r="W59" s="557"/>
      <c r="X59" s="557"/>
      <c r="Y59" s="557"/>
      <c r="Z59" s="557"/>
      <c r="AA59" s="557"/>
      <c r="AB59" s="557"/>
      <c r="AC59" s="557"/>
      <c r="AD59" s="557"/>
      <c r="AE59" s="557"/>
      <c r="AF59" s="557"/>
      <c r="AG59" s="557"/>
      <c r="AH59" s="557"/>
    </row>
    <row r="60" spans="1:35" s="209" customFormat="1" ht="12.75" x14ac:dyDescent="0.2">
      <c r="A60" s="419"/>
      <c r="B60" s="215" t="s">
        <v>57</v>
      </c>
      <c r="C60" s="940" t="s">
        <v>58</v>
      </c>
      <c r="D60" s="940" t="s">
        <v>59</v>
      </c>
      <c r="E60" s="940" t="s">
        <v>60</v>
      </c>
      <c r="F60" s="217" t="s">
        <v>61</v>
      </c>
      <c r="G60" s="180"/>
      <c r="H60" s="215" t="s">
        <v>300</v>
      </c>
      <c r="I60" s="940" t="s">
        <v>294</v>
      </c>
      <c r="J60" s="940" t="s">
        <v>102</v>
      </c>
      <c r="K60" s="217" t="s">
        <v>295</v>
      </c>
      <c r="L60" s="228" t="s">
        <v>296</v>
      </c>
      <c r="M60" s="213"/>
      <c r="N60" s="213"/>
      <c r="P60" s="1648"/>
      <c r="Q60" s="1649"/>
      <c r="R60" s="1649"/>
      <c r="S60" s="1650"/>
      <c r="U60" s="557"/>
      <c r="V60" s="557"/>
      <c r="W60" s="557"/>
      <c r="X60" s="557"/>
      <c r="Y60" s="557"/>
      <c r="Z60" s="557"/>
      <c r="AA60" s="557"/>
      <c r="AB60" s="557"/>
      <c r="AC60" s="557"/>
      <c r="AD60" s="557"/>
      <c r="AE60" s="557"/>
      <c r="AF60" s="557"/>
      <c r="AG60" s="557"/>
      <c r="AH60" s="557"/>
    </row>
    <row r="61" spans="1:35" ht="15" thickBot="1" x14ac:dyDescent="0.25">
      <c r="A61" s="9"/>
      <c r="B61" s="177">
        <f>IFERROR('B2_Gesamtkalkulation '!H51,0)</f>
        <v>0</v>
      </c>
      <c r="C61" s="178">
        <f>IFERROR('B2_Gesamtkalkulation '!J51,0)</f>
        <v>0</v>
      </c>
      <c r="D61" s="178">
        <f>IFERROR('B2_Gesamtkalkulation '!L51,0)</f>
        <v>0</v>
      </c>
      <c r="E61" s="178">
        <f>IFERROR('B2_Gesamtkalkulation '!N51,0)</f>
        <v>0</v>
      </c>
      <c r="F61" s="179">
        <f>IFERROR('B2_Gesamtkalkulation '!P51,0)</f>
        <v>0</v>
      </c>
      <c r="G61" s="180"/>
      <c r="H61" s="177" t="str">
        <f>IFERROR('B2_Gesamtkalkulation '!J49,"")</f>
        <v/>
      </c>
      <c r="I61" s="178">
        <f>IFERROR('B2_Gesamtkalkulation '!R51,0)</f>
        <v>0</v>
      </c>
      <c r="J61" s="178">
        <f>IFERROR('B2_Gesamtkalkulation '!T51,0)</f>
        <v>0</v>
      </c>
      <c r="K61" s="179">
        <f>IFERROR('B2_Gesamtkalkulation '!V51,0)</f>
        <v>0</v>
      </c>
      <c r="L61" s="179" t="str">
        <f>L19</f>
        <v/>
      </c>
      <c r="P61" s="1651"/>
      <c r="Q61" s="1652"/>
      <c r="R61" s="1652"/>
      <c r="S61" s="1653"/>
    </row>
    <row r="62" spans="1:35" ht="15" x14ac:dyDescent="0.25">
      <c r="A62" s="9"/>
      <c r="B62" s="1406" t="s">
        <v>1184</v>
      </c>
      <c r="C62" s="1407"/>
      <c r="D62" s="1407"/>
      <c r="E62" s="1407"/>
      <c r="F62" s="1408"/>
      <c r="G62" s="1409"/>
      <c r="H62" s="1410"/>
      <c r="I62" s="1640" t="s">
        <v>1185</v>
      </c>
      <c r="J62" s="1641"/>
      <c r="K62" s="1642"/>
      <c r="L62" s="922"/>
      <c r="M62" s="1415"/>
      <c r="P62" s="1651"/>
      <c r="Q62" s="1652"/>
      <c r="R62" s="1652"/>
      <c r="S62" s="1653"/>
    </row>
    <row r="63" spans="1:35" ht="15" thickBot="1" x14ac:dyDescent="0.25">
      <c r="A63" s="9"/>
      <c r="B63" s="1411">
        <f>IFERROR('B2_Gesamtkalkulation ab XXX'!H51,0)</f>
        <v>0</v>
      </c>
      <c r="C63" s="1412">
        <f>IFERROR('B2_Gesamtkalkulation ab XXX'!J51,0)</f>
        <v>0</v>
      </c>
      <c r="D63" s="1412">
        <f>IFERROR('B2_Gesamtkalkulation ab XXX'!L51,0)</f>
        <v>0</v>
      </c>
      <c r="E63" s="1412">
        <f>IFERROR('B2_Gesamtkalkulation ab XXX'!N51,0)</f>
        <v>0</v>
      </c>
      <c r="F63" s="1413">
        <f>IFERROR('B2_Gesamtkalkulation ab XXX'!P51,0)</f>
        <v>0</v>
      </c>
      <c r="G63" s="1409"/>
      <c r="H63" s="1411" t="str">
        <f>IFERROR('B2_Gesamtkalkulation ab XXX'!J49,"")</f>
        <v/>
      </c>
      <c r="I63" s="1412" t="str">
        <f>IFERROR('B2_Gesamtkalkulation ab XXX'!R53,0)</f>
        <v/>
      </c>
      <c r="J63" s="1412">
        <f>IFERROR('B2_Gesamtkalkulation ab XXX'!T51,0)</f>
        <v>0</v>
      </c>
      <c r="K63" s="1413">
        <f>IFERROR('B2_Gesamtkalkulation ab XXX'!V51,0)</f>
        <v>0</v>
      </c>
      <c r="L63" s="922"/>
      <c r="M63" s="1415"/>
      <c r="P63" s="1651"/>
      <c r="Q63" s="1652"/>
      <c r="R63" s="1652"/>
      <c r="S63" s="1653"/>
    </row>
    <row r="64" spans="1:35" s="210" customFormat="1" ht="17.25" customHeight="1" thickBot="1" x14ac:dyDescent="0.25">
      <c r="A64" s="233"/>
      <c r="B64" s="230"/>
      <c r="C64" s="230"/>
      <c r="D64" s="230"/>
      <c r="E64" s="230"/>
      <c r="F64" s="230"/>
      <c r="G64" s="180"/>
      <c r="H64" s="216"/>
      <c r="I64" s="216"/>
      <c r="J64" s="216"/>
      <c r="K64" s="216"/>
      <c r="P64" s="1651"/>
      <c r="Q64" s="1652"/>
      <c r="R64" s="1652"/>
      <c r="S64" s="1653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/>
    </row>
    <row r="65" spans="1:35" x14ac:dyDescent="0.2">
      <c r="A65" s="9"/>
      <c r="B65" s="1677" t="s">
        <v>829</v>
      </c>
      <c r="C65" s="1678"/>
      <c r="D65" s="1678"/>
      <c r="E65" s="1678"/>
      <c r="F65" s="1679"/>
      <c r="G65" s="180"/>
      <c r="H65" s="216"/>
      <c r="I65" s="1670" t="s">
        <v>830</v>
      </c>
      <c r="J65" s="1671"/>
      <c r="K65" s="1672"/>
      <c r="L65" s="210"/>
      <c r="P65" s="1651"/>
      <c r="Q65" s="1652"/>
      <c r="R65" s="1652"/>
      <c r="S65" s="1653"/>
    </row>
    <row r="66" spans="1:35" x14ac:dyDescent="0.2">
      <c r="A66" s="9"/>
      <c r="B66" s="215" t="s">
        <v>57</v>
      </c>
      <c r="C66" s="940" t="s">
        <v>58</v>
      </c>
      <c r="D66" s="940" t="s">
        <v>59</v>
      </c>
      <c r="E66" s="940" t="s">
        <v>60</v>
      </c>
      <c r="F66" s="217" t="s">
        <v>61</v>
      </c>
      <c r="G66" s="180"/>
      <c r="H66" s="216"/>
      <c r="I66" s="215" t="s">
        <v>294</v>
      </c>
      <c r="J66" s="940" t="s">
        <v>102</v>
      </c>
      <c r="K66" s="217" t="s">
        <v>295</v>
      </c>
      <c r="L66" s="210"/>
      <c r="P66" s="1651"/>
      <c r="Q66" s="1652"/>
      <c r="R66" s="1652"/>
      <c r="S66" s="1653"/>
    </row>
    <row r="67" spans="1:35" ht="15" thickBot="1" x14ac:dyDescent="0.25">
      <c r="A67" s="9"/>
      <c r="B67" s="177">
        <f>IFERROR('B2_Gesamtkalkulation '!H53,0)</f>
        <v>0</v>
      </c>
      <c r="C67" s="178" t="str">
        <f>IFERROR('B2_Gesamtkalkulation '!J53,0)</f>
        <v/>
      </c>
      <c r="D67" s="178" t="str">
        <f>IFERROR('B2_Gesamtkalkulation '!L53,0)</f>
        <v/>
      </c>
      <c r="E67" s="178" t="str">
        <f>IFERROR('B2_Gesamtkalkulation '!N53,0)</f>
        <v/>
      </c>
      <c r="F67" s="179" t="str">
        <f>IFERROR('B2_Gesamtkalkulation '!P53,0)</f>
        <v/>
      </c>
      <c r="G67" s="180"/>
      <c r="H67" s="216"/>
      <c r="I67" s="177" t="str">
        <f>IFERROR('B2_Gesamtkalkulation '!R53,0)</f>
        <v/>
      </c>
      <c r="J67" s="178" t="str">
        <f>IFERROR('B2_Gesamtkalkulation '!T53,0)</f>
        <v/>
      </c>
      <c r="K67" s="179" t="str">
        <f>IFERROR('B2_Gesamtkalkulation '!V53,0)</f>
        <v/>
      </c>
      <c r="L67" s="210"/>
      <c r="P67" s="1651"/>
      <c r="Q67" s="1652"/>
      <c r="R67" s="1652"/>
      <c r="S67" s="1653"/>
    </row>
    <row r="68" spans="1:35" ht="7.5" customHeight="1" x14ac:dyDescent="0.2">
      <c r="A68" s="9"/>
      <c r="P68" s="1651"/>
      <c r="Q68" s="1652"/>
      <c r="R68" s="1652"/>
      <c r="S68" s="1653"/>
    </row>
    <row r="69" spans="1:35" ht="15" x14ac:dyDescent="0.25">
      <c r="A69" s="9"/>
      <c r="B69" s="218" t="s">
        <v>68</v>
      </c>
      <c r="P69" s="1651"/>
      <c r="Q69" s="1652"/>
      <c r="R69" s="1652"/>
      <c r="S69" s="1653"/>
    </row>
    <row r="70" spans="1:35" s="210" customFormat="1" ht="80.099999999999994" customHeight="1" x14ac:dyDescent="0.2">
      <c r="A70" s="233"/>
      <c r="B70" s="54"/>
      <c r="C70" s="231"/>
      <c r="H70" s="54"/>
      <c r="I70" s="231"/>
      <c r="J70" s="231"/>
      <c r="K70" s="231"/>
      <c r="L70" s="231"/>
      <c r="P70" s="1654"/>
      <c r="Q70" s="1655"/>
      <c r="R70" s="1655"/>
      <c r="S70" s="1656"/>
      <c r="U70" s="556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/>
    </row>
    <row r="71" spans="1:35" x14ac:dyDescent="0.2">
      <c r="A71" s="9"/>
      <c r="B71" t="s">
        <v>298</v>
      </c>
      <c r="H71" t="s">
        <v>299</v>
      </c>
      <c r="S71" s="8"/>
    </row>
    <row r="72" spans="1:35" s="232" customFormat="1" ht="12" x14ac:dyDescent="0.2">
      <c r="A72" s="446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629"/>
      <c r="U72" s="558"/>
      <c r="V72" s="558"/>
      <c r="W72" s="558"/>
      <c r="X72" s="558"/>
      <c r="Y72" s="558"/>
      <c r="Z72" s="558"/>
      <c r="AA72" s="558"/>
      <c r="AB72" s="558"/>
      <c r="AC72" s="558"/>
      <c r="AD72" s="558"/>
      <c r="AE72" s="558"/>
      <c r="AF72" s="558"/>
      <c r="AG72" s="558"/>
      <c r="AH72" s="558"/>
    </row>
    <row r="73" spans="1:35" ht="15" thickBot="1" x14ac:dyDescent="0.25"/>
    <row r="74" spans="1:35" ht="15" thickBot="1" x14ac:dyDescent="0.25">
      <c r="H74" s="1628" t="s">
        <v>566</v>
      </c>
      <c r="I74" s="1629"/>
      <c r="J74" s="1629"/>
      <c r="K74" s="1629"/>
      <c r="L74" s="1629"/>
      <c r="M74" s="1629"/>
      <c r="N74" s="1629"/>
      <c r="O74" s="1630"/>
    </row>
  </sheetData>
  <sheetProtection algorithmName="SHA-512" hashValue="gd69OxrZDMf/ghczGY8JGBTZ68XD0NKdYbd2zYJwIhgJUd/P0MAznvqx0M2/EuszejDHJZcSUz2NrLWrRZ+LKg==" saltValue="tM2J3qb+4QrWsY+8DCb1sA==" spinCount="100000" sheet="1" objects="1" scenarios="1"/>
  <customSheetViews>
    <customSheetView guid="{9119B1A0-FD79-4FE4-B78E-10E0AEB8080B}" scale="70" showGridLines="0" fitToPage="1" hiddenColumns="1">
      <selection activeCell="F30" sqref="F30"/>
      <pageMargins left="0.39370078740157483" right="0.39370078740157483" top="0.78740157480314965" bottom="0.78740157480314965" header="0.31496062992125984" footer="0.31496062992125984"/>
      <pageSetup paperSize="9" scale="48" orientation="landscape"/>
      <headerFooter>
        <oddHeader>&amp;C&amp;9Seite 2</oddHeader>
        <oddFooter>&amp;LVersion: 13.11.2019&amp;CVerhandlungsunterlagen SGB XI (vereinfacht)</oddFooter>
      </headerFooter>
    </customSheetView>
  </customSheetViews>
  <mergeCells count="27">
    <mergeCell ref="N11:Q11"/>
    <mergeCell ref="U22:AE23"/>
    <mergeCell ref="H74:O74"/>
    <mergeCell ref="I65:K65"/>
    <mergeCell ref="A1:Q1"/>
    <mergeCell ref="A2:Q2"/>
    <mergeCell ref="B65:F65"/>
    <mergeCell ref="I59:K59"/>
    <mergeCell ref="B33:C33"/>
    <mergeCell ref="H33:I33"/>
    <mergeCell ref="Q3:R3"/>
    <mergeCell ref="Q4:R4"/>
    <mergeCell ref="P18:S18"/>
    <mergeCell ref="P19:S19"/>
    <mergeCell ref="P20:S26"/>
    <mergeCell ref="P27:S27"/>
    <mergeCell ref="D28:F28"/>
    <mergeCell ref="J28:L28"/>
    <mergeCell ref="I62:K62"/>
    <mergeCell ref="P59:S59"/>
    <mergeCell ref="Q12:R12"/>
    <mergeCell ref="P60:S70"/>
    <mergeCell ref="P29:S34"/>
    <mergeCell ref="P36:S36"/>
    <mergeCell ref="P37:S48"/>
    <mergeCell ref="P49:S49"/>
    <mergeCell ref="P50:S57"/>
  </mergeCells>
  <dataValidations count="4">
    <dataValidation type="whole" allowBlank="1" showInputMessage="1" showErrorMessage="1" error="ganze Zahlen_x000a_ab 73 bis 100_x000a_je nach Einrichtungsart" promptTitle="je nach Einrichtungsart:" prompt="teistationär: 85% bis 100%_x000a_vollstationär: 96% bis 100%_x000a_Kurzzeitpflege: siehe &quot;B2_Hinweise&quot;_x000a_73% bis 100% " sqref="D6" xr:uid="{00000000-0002-0000-0200-000000000000}">
      <formula1>73</formula1>
      <formula2>100</formula2>
    </dataValidation>
    <dataValidation type="list" allowBlank="1" showInputMessage="1" showErrorMessage="1" promptTitle="je nach Einrichtungsart wählen" prompt="vollstationär: 365 Tage/Jahr_x000a_KZP: 365 Tage/Jahr_x000a_teilstationär: Mo-Fr. 250 Tage/Jahr_x000a_teilstationär: Mo-Sa 312 Tage/Jahr_x000a_teilstationär: Mo-So 365 Tage/Jahr" sqref="I6" xr:uid="{00000000-0002-0000-0200-000001000000}">
      <formula1>"250,312,365"</formula1>
    </dataValidation>
    <dataValidation allowBlank="1" showInputMessage="1" showErrorMessage="1" prompt="geeinte Vergütung der letzten Verhandlung" sqref="F19" xr:uid="{00000000-0002-0000-0200-000002000000}"/>
    <dataValidation allowBlank="1" showErrorMessage="1" sqref="L19" xr:uid="{00000000-0002-0000-0200-000003000000}"/>
  </dataValidations>
  <hyperlinks>
    <hyperlink ref="H74" location="'Anlage 1'!A1" display="Anlage 1" xr:uid="{00000000-0004-0000-0200-000000000000}"/>
    <hyperlink ref="H74:O74" location="B2_Personalkostenübersicht!A1" display="gehe weiter zu B2_Personalkostenübersicht" xr:uid="{00000000-0004-0000-0200-000001000000}"/>
  </hyperlinks>
  <pageMargins left="0.39370078740157483" right="0.39370078740157483" top="0.78740157480314965" bottom="0.78740157480314965" header="0.31496062992125984" footer="0.31496062992125984"/>
  <pageSetup paperSize="9" scale="42" orientation="landscape"/>
  <headerFooter>
    <oddHeader>&amp;C&amp;9Seite 2</oddHeader>
    <oddFooter>&amp;LVersion:21.11.2024&amp;CVerhandlungsunterlagen SGB XI (vereinfacht B2)_x000D_&amp;1#&amp;"Calibri"&amp;10&amp;K000000 öffentlich&amp;RPSK-Beschluss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D09D712-278C-44E6-B00D-6B7C409B4008}">
            <xm:f>'B2_Allgemeine Angaben'!$D$7="vst"</xm:f>
            <x14:dxf>
              <font>
                <color auto="1"/>
              </font>
            </x14:dxf>
          </x14:cfRule>
          <xm:sqref>B28 D28:F28 H28 J28:L28</xm:sqref>
        </x14:conditionalFormatting>
        <x14:conditionalFormatting xmlns:xm="http://schemas.microsoft.com/office/excel/2006/main">
          <x14:cfRule type="expression" priority="7" stopIfTrue="1" id="{B72860A7-6557-460A-A590-9AD8CD2B626D}">
            <xm:f>'B2_Allgemeine Angaben'!$L$55=1</xm:f>
            <x14:dxf>
              <font>
                <color theme="0"/>
              </font>
            </x14:dxf>
          </x14:cfRule>
          <xm:sqref>B28 D28:F28</xm:sqref>
        </x14:conditionalFormatting>
        <x14:conditionalFormatting xmlns:xm="http://schemas.microsoft.com/office/excel/2006/main">
          <x14:cfRule type="expression" priority="70" id="{A21501EE-BCA5-41D9-B4F3-2002CB5EFB90}">
            <xm:f>'B2_Allgemeine Angaben'!$L$48=0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B66:B67</xm:sqref>
        </x14:conditionalFormatting>
        <x14:conditionalFormatting xmlns:xm="http://schemas.microsoft.com/office/excel/2006/main">
          <x14:cfRule type="expression" priority="23" id="{41DBC19E-EA40-4B58-949A-7CA88A855631}">
            <xm:f>'B2_Allgemeine Angaben'!$D$7&lt;&gt;"kzp"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top/>
                <bottom/>
                <vertical/>
                <horizontal/>
              </border>
            </x14:dxf>
          </x14:cfRule>
          <xm:sqref>B7:C7</xm:sqref>
        </x14:conditionalFormatting>
        <x14:conditionalFormatting xmlns:xm="http://schemas.microsoft.com/office/excel/2006/main">
          <x14:cfRule type="expression" priority="44" id="{BF353730-72EE-4C6A-9C39-84208F488C9E}">
            <xm:f>'B2_Allgemeine Angaben'!$D$7&lt;&gt;"vst"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</x14:dxf>
          </x14:cfRule>
          <xm:sqref>B25:D25</xm:sqref>
        </x14:conditionalFormatting>
        <x14:conditionalFormatting xmlns:xm="http://schemas.microsoft.com/office/excel/2006/main">
          <x14:cfRule type="expression" priority="50" id="{10138DDA-0113-4BF7-B442-64C624BBE027}">
            <xm:f>'B2_Allgemeine Angaben'!$D$7&lt;&gt;"vst"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</x14:dxf>
          </x14:cfRule>
          <xm:sqref>B52:E52</xm:sqref>
        </x14:conditionalFormatting>
        <x14:conditionalFormatting xmlns:xm="http://schemas.microsoft.com/office/excel/2006/main">
          <x14:cfRule type="expression" priority="38" id="{EDF2D96F-D270-4AF9-BE73-543512921CA0}">
            <xm:f>'B2_Allgemeine Angaben'!$L$48=0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B16:F17</xm:sqref>
        </x14:conditionalFormatting>
        <x14:conditionalFormatting xmlns:xm="http://schemas.microsoft.com/office/excel/2006/main">
          <x14:cfRule type="expression" priority="12" id="{6146E065-897B-4DE9-94DB-9222DEC6E4AD}">
            <xm:f>'B2_Allgemeine Angaben'!$D$7&lt;&gt;0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B62:F62</xm:sqref>
        </x14:conditionalFormatting>
        <x14:conditionalFormatting xmlns:xm="http://schemas.microsoft.com/office/excel/2006/main">
          <x14:cfRule type="expression" priority="14" id="{9DCA278F-59FE-448A-AABE-39AC04F0EBA5}">
            <xm:f>'B2_Allgemeine Angaben'!$D$7&lt;&gt;0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B63:F63</xm:sqref>
        </x14:conditionalFormatting>
        <x14:conditionalFormatting xmlns:xm="http://schemas.microsoft.com/office/excel/2006/main">
          <x14:cfRule type="expression" priority="17" id="{2495D71B-19D0-4C64-8BB0-FE03E744F23E}">
            <xm:f>KAT!$A$18=0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C26 I26</xm:sqref>
        </x14:conditionalFormatting>
        <x14:conditionalFormatting xmlns:xm="http://schemas.microsoft.com/office/excel/2006/main">
          <x14:cfRule type="expression" priority="3" id="{28D71BB6-C824-47EB-88B7-FFB13E29D3D5}">
            <xm:f>'B2_Allgemeine Angaben'!$D$7=vst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5" id="{D7D9DD35-2975-4618-A2FB-F7797A346202}">
            <xm:f>'B2_Allgemeine Angaben'!$L$55=1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72" id="{86A9EC2E-0278-481E-ACC5-0B6D9E1B776A}">
            <xm:f>'B2_Allgemeine Angaben'!$L$48=0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C66:E67</xm:sqref>
        </x14:conditionalFormatting>
        <x14:conditionalFormatting xmlns:xm="http://schemas.microsoft.com/office/excel/2006/main">
          <x14:cfRule type="expression" priority="22" id="{551B03E3-6298-45B6-9AB6-5D3D483B1081}">
            <xm:f>'B2_Allgemeine Angaben'!$D$7&lt;&gt;"kzp"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D7</xm:sqref>
        </x14:conditionalFormatting>
        <x14:conditionalFormatting xmlns:xm="http://schemas.microsoft.com/office/excel/2006/main">
          <x14:cfRule type="expression" priority="63" id="{7EED9CB8-E343-4D34-A76E-0D149CBE2CEA}">
            <xm:f>'B2_Allgemeine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E19</xm:sqref>
        </x14:conditionalFormatting>
        <x14:conditionalFormatting xmlns:xm="http://schemas.microsoft.com/office/excel/2006/main">
          <x14:cfRule type="expression" priority="21" id="{14E4C803-AD30-4861-AC34-C88F4FAF017D}">
            <xm:f>'B2_Allgemeine Angaben'!$D$7&lt;&gt;"kzp"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E7:F7</xm:sqref>
        </x14:conditionalFormatting>
        <x14:conditionalFormatting xmlns:xm="http://schemas.microsoft.com/office/excel/2006/main">
          <x14:cfRule type="expression" priority="62" id="{E3BB435D-9F54-4BF1-BD4F-B6C588E2BF09}">
            <xm:f>'B2_Allgemeine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F19</xm:sqref>
        </x14:conditionalFormatting>
        <x14:conditionalFormatting xmlns:xm="http://schemas.microsoft.com/office/excel/2006/main">
          <x14:cfRule type="expression" priority="26" id="{32F25598-35FA-4957-8BF5-EB8DCD8B1284}">
            <xm:f>'B2_Allgemeine Angaben'!$D$7&lt;&gt;"vst"</xm:f>
            <x14:dxf>
              <font>
                <color theme="0" tint="-4.9989318521683403E-2"/>
              </font>
              <fill>
                <patternFill>
                  <bgColor theme="0" tint="-0.24994659260841701"/>
                </patternFill>
              </fill>
            </x14:dxf>
          </x14:cfRule>
          <xm:sqref>F52</xm:sqref>
        </x14:conditionalFormatting>
        <x14:conditionalFormatting xmlns:xm="http://schemas.microsoft.com/office/excel/2006/main">
          <x14:cfRule type="expression" priority="74" id="{1FC2EBED-EB36-4AA1-A40D-EDCF3BC89E76}">
            <xm:f>'B2_Allgemeine Angaben'!$L$48=0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F66:F67 B65:F65</xm:sqref>
        </x14:conditionalFormatting>
        <x14:conditionalFormatting xmlns:xm="http://schemas.microsoft.com/office/excel/2006/main">
          <x14:cfRule type="expression" priority="71" id="{535B2BD5-69C4-4999-BA48-A73B05B1D54B}">
            <xm:f>'B2_Allgemeine Angaben'!$L$48=0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F66:F67</xm:sqref>
        </x14:conditionalFormatting>
        <x14:conditionalFormatting xmlns:xm="http://schemas.microsoft.com/office/excel/2006/main">
          <x14:cfRule type="expression" priority="2" id="{49BC1B19-6C75-4DE2-9092-5C0A075C5FC3}">
            <xm:f>KAT!$A$177="nein"</xm:f>
            <x14:dxf>
              <fill>
                <patternFill patternType="none">
                  <bgColor auto="1"/>
                </patternFill>
              </fill>
            </x14:dxf>
          </x14:cfRule>
          <xm:sqref>G62:G63 M62:M63</xm:sqref>
        </x14:conditionalFormatting>
        <x14:conditionalFormatting xmlns:xm="http://schemas.microsoft.com/office/excel/2006/main">
          <x14:cfRule type="expression" priority="58" id="{4FAEF94E-8D74-41A5-90D2-634C432A36E7}">
            <xm:f>'B2_Allgemeine Angaben'!$D$7&lt;&gt;"vst"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 style="thin">
                  <color auto="1"/>
                </right>
                <top/>
                <bottom/>
                <vertical/>
                <horizontal/>
              </border>
            </x14:dxf>
          </x14:cfRule>
          <xm:sqref>H59:H60</xm:sqref>
        </x14:conditionalFormatting>
        <x14:conditionalFormatting xmlns:xm="http://schemas.microsoft.com/office/excel/2006/main">
          <x14:cfRule type="expression" priority="8" id="{4A2677B9-88EC-42E6-AA89-7DE8A48418AF}">
            <xm:f>'B2_Allgemeine Angaben'!$D$7&lt;&gt;"vst"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 style="thin">
                  <color auto="1"/>
                </right>
                <top/>
                <bottom/>
                <vertical/>
                <horizontal/>
              </border>
            </x14:dxf>
          </x14:cfRule>
          <xm:sqref>H61</xm:sqref>
        </x14:conditionalFormatting>
        <x14:conditionalFormatting xmlns:xm="http://schemas.microsoft.com/office/excel/2006/main">
          <x14:cfRule type="expression" priority="51" id="{A463FEA6-E1A1-4B40-A407-14797A68EF3B}">
            <xm:f>'B2_Allgemeine Angaben'!$D$7&lt;&gt;"vst"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H52:K52</xm:sqref>
        </x14:conditionalFormatting>
        <x14:conditionalFormatting xmlns:xm="http://schemas.microsoft.com/office/excel/2006/main">
          <x14:cfRule type="expression" priority="9" id="{083981C6-337B-4C85-A47B-6CBC405F65F1}">
            <xm:f>'B2_Allgemeine Angaben'!$D$7&lt;&gt;"0"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H62:K62</xm:sqref>
        </x14:conditionalFormatting>
        <x14:conditionalFormatting xmlns:xm="http://schemas.microsoft.com/office/excel/2006/main">
          <x14:cfRule type="expression" priority="10" id="{92F91F9D-2DF8-420E-86CB-1F783292C246}">
            <xm:f>'B2_Allgemeine Angaben'!$D$7&lt;&gt;0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H63:K63</xm:sqref>
        </x14:conditionalFormatting>
        <x14:conditionalFormatting xmlns:xm="http://schemas.microsoft.com/office/excel/2006/main">
          <x14:cfRule type="expression" priority="37" id="{28BB5889-B62D-4763-ABC1-0297527460FD}">
            <xm:f>'B2_Allgemeine Angaben'!$L$48=0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H16:L17</xm:sqref>
        </x14:conditionalFormatting>
        <x14:conditionalFormatting xmlns:xm="http://schemas.microsoft.com/office/excel/2006/main">
          <x14:cfRule type="expression" priority="53" id="{5F7E4E2D-5E9F-4983-BF21-AEFF4F8565A8}">
            <xm:f>'B2_Allgemeine Angaben'!$D$7&lt;&gt;"vst"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H25:L25</xm:sqref>
        </x14:conditionalFormatting>
        <x14:conditionalFormatting xmlns:xm="http://schemas.microsoft.com/office/excel/2006/main">
          <x14:cfRule type="expression" priority="59" id="{8C0A39DB-CC9F-47E1-A712-15B1A636D9F3}">
            <xm:f>'B2_Allgemeine Angaben'!$D$7="tst"</xm:f>
            <x14:dxf>
              <fill>
                <patternFill>
                  <f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H74:O74</xm:sqref>
        </x14:conditionalFormatting>
        <x14:conditionalFormatting xmlns:xm="http://schemas.microsoft.com/office/excel/2006/main">
          <x14:cfRule type="expression" priority="15" id="{FE8FF353-1834-4255-B58E-8742861DE511}">
            <xm:f>'B2_Allgemeine Angaben'!$D$7="vst"</xm:f>
            <x14:dxf>
              <font>
                <b/>
                <i val="0"/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73" id="{C680CE90-A4D4-4E57-BFBD-6C2197B720CC}">
            <xm:f>'B2_Allgemeine Angaben'!$L$48=0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I65:K67</xm:sqref>
        </x14:conditionalFormatting>
        <x14:conditionalFormatting xmlns:xm="http://schemas.microsoft.com/office/excel/2006/main">
          <x14:cfRule type="expression" priority="69" id="{78C4B612-6B76-487F-BE2D-B3E1E1E97178}">
            <xm:f>'B2_Allgemeine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K19</xm:sqref>
        </x14:conditionalFormatting>
        <x14:conditionalFormatting xmlns:xm="http://schemas.microsoft.com/office/excel/2006/main">
          <x14:cfRule type="expression" priority="35" id="{7FFF895E-00D5-4AFC-877C-B103E5E26A88}">
            <xm:f>'B2_Allgemeine Angaben'!$L$48=0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K3:L3</xm:sqref>
        </x14:conditionalFormatting>
        <x14:conditionalFormatting xmlns:xm="http://schemas.microsoft.com/office/excel/2006/main">
          <x14:cfRule type="expression" priority="68" id="{15FD42FB-B033-4D61-BDC7-36879DA7ABBC}">
            <xm:f>'B2_Allgemeine Angaben'!$D$7&lt;&gt;"tst"</xm:f>
            <x14:dxf>
              <font>
                <color theme="0" tint="-0.14996795556505021"/>
              </font>
              <fill>
                <patternFill>
                  <fgColor theme="0"/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L19</xm:sqref>
        </x14:conditionalFormatting>
        <x14:conditionalFormatting xmlns:xm="http://schemas.microsoft.com/office/excel/2006/main">
          <x14:cfRule type="expression" priority="60" id="{64370A19-8E96-4201-94FE-8286514C14FD}">
            <xm:f>'B2_Allgemeine Angaben'!$D$7&lt;&gt;"tst"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L59:L61</xm:sqref>
        </x14:conditionalFormatting>
        <x14:conditionalFormatting xmlns:xm="http://schemas.microsoft.com/office/excel/2006/main">
          <x14:cfRule type="expression" priority="32" id="{B0ACDFFB-36E6-47A9-A7CF-F862BEAEA23C}">
            <xm:f>'B2_Allgemeine Angaben'!$G$7=1</xm:f>
            <x14:dxf>
              <font>
                <color rgb="FF0070C0"/>
              </font>
              <fill>
                <patternFill>
                  <bgColor theme="5"/>
                </patternFill>
              </fill>
              <border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30" id="{56AFB447-41F3-46A4-9BA4-D694EB461771}">
            <xm:f>B2_Personalkostenübersicht!$S$329&lt;&gt;0</xm:f>
            <x14:dxf>
              <font>
                <color theme="0" tint="-0.24994659260841701"/>
              </font>
              <fill>
                <patternFill>
                  <bgColor theme="0" tint="-0.34998626667073579"/>
                </patternFill>
              </fill>
            </x14:dxf>
          </x14:cfRule>
          <xm:sqref>M30</xm:sqref>
        </x14:conditionalFormatting>
        <x14:conditionalFormatting xmlns:xm="http://schemas.microsoft.com/office/excel/2006/main">
          <x14:cfRule type="expression" priority="31" id="{ED0BD374-608C-4A5F-88F3-648FAE0BBC90}">
            <xm:f>'B2_Allgemeine Angaben'!$G$7=1</xm:f>
            <x14:dxf>
              <font>
                <color rgb="FF0070C0"/>
              </font>
              <fill>
                <patternFill>
                  <bgColor theme="5"/>
                </patternFill>
              </fill>
              <border>
                <right style="thin">
                  <color auto="1"/>
                </right>
                <top style="thin">
                  <color auto="1"/>
                </top>
                <vertical/>
                <horizontal/>
              </border>
            </x14:dxf>
          </x14:cfRule>
          <x14:cfRule type="expression" priority="29" id="{780C8540-D52A-4F38-BFC8-A39F70FF9741}">
            <xm:f>B2_Personalkostenübersicht!$S$362&lt;&gt;0</xm:f>
            <x14:dxf>
              <font>
                <color theme="0" tint="-0.24994659260841701"/>
              </font>
              <fill>
                <patternFill>
                  <bgColor theme="0" tint="-0.34998626667073579"/>
                </patternFill>
              </fill>
            </x14:dxf>
          </x14:cfRule>
          <xm:sqref>M31</xm:sqref>
        </x14:conditionalFormatting>
        <x14:conditionalFormatting xmlns:xm="http://schemas.microsoft.com/office/excel/2006/main">
          <x14:cfRule type="expression" priority="75" id="{066BB9AC-189C-48CC-A561-D061CFA89FD6}">
            <xm:f>$M$36&gt;KAT!$L$111</xm:f>
            <x14:dxf>
              <fill>
                <patternFill>
                  <bgColor rgb="FFFF0000"/>
                </patternFill>
              </fill>
            </x14:dxf>
          </x14:cfRule>
          <xm:sqref>M36</xm:sqref>
        </x14:conditionalFormatting>
        <x14:conditionalFormatting xmlns:xm="http://schemas.microsoft.com/office/excel/2006/main">
          <x14:cfRule type="expression" priority="76" id="{44ABCC18-3F79-4403-9819-0A2642BE14DF}">
            <xm:f>$M$49&gt;KAT!$L$112</xm:f>
            <x14:dxf>
              <fill>
                <patternFill>
                  <bgColor rgb="FFFF0000"/>
                </pattern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4" id="{D06F8B74-8708-4E2F-A375-FBBF0D1A33C4}">
            <xm:f>'B2_Allgemeine Angaben'!$D$7&lt;&gt;"vst"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</x14:dxf>
          </x14:cfRule>
          <xm:sqref>M52</xm:sqref>
        </x14:conditionalFormatting>
        <x14:conditionalFormatting xmlns:xm="http://schemas.microsoft.com/office/excel/2006/main">
          <x14:cfRule type="expression" priority="36" id="{AF14D1AA-FF93-4283-B11E-FECA4E59D6B2}">
            <xm:f>'B2_Allgemeine Angaben'!$L$48=0</xm:f>
            <x14:dxf>
              <font>
                <color theme="0"/>
              </font>
            </x14:dxf>
          </x14:cfRule>
          <xm:sqref>M16:N16</xm:sqref>
        </x14:conditionalFormatting>
        <x14:conditionalFormatting xmlns:xm="http://schemas.microsoft.com/office/excel/2006/main">
          <x14:cfRule type="expression" priority="34" id="{5E53981A-FB62-4C94-BF38-4777A5B60207}">
            <xm:f>'B2_Allgemeine Angaben'!$D$7&lt;&gt;"tst"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M18:N18</xm:sqref>
        </x14:conditionalFormatting>
        <x14:conditionalFormatting xmlns:xm="http://schemas.microsoft.com/office/excel/2006/main">
          <x14:cfRule type="expression" priority="33" id="{C3444210-BBFF-49A5-8CC5-9058900E2503}">
            <xm:f>'B2_Allgemeine Angaben'!$D$7&lt;&gt;"tst"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right/>
                <top/>
                <bottom/>
                <vertical/>
                <horizontal/>
              </border>
            </x14:dxf>
          </x14:cfRule>
          <xm:sqref>M19:N19</xm:sqref>
        </x14:conditionalFormatting>
        <x14:conditionalFormatting xmlns:xm="http://schemas.microsoft.com/office/excel/2006/main">
          <x14:cfRule type="expression" priority="6" id="{35964108-DE1E-425C-9150-AFFF2C1CE179}">
            <xm:f>KAT!$A$177="nein"</xm:f>
            <x14:dxf>
              <fill>
                <patternFill>
                  <bgColor theme="0"/>
                </patternFill>
              </fill>
            </x14:dxf>
          </x14:cfRule>
          <xm:sqref>N10:N11 L20 K21:K22 N21:N22</xm:sqref>
        </x14:conditionalFormatting>
        <x14:conditionalFormatting xmlns:xm="http://schemas.microsoft.com/office/excel/2006/main">
          <x14:cfRule type="expression" priority="1" id="{26461CA7-0E75-489C-93AC-DD543796D614}">
            <xm:f>'B2_Allgemeine Angaben'!$D$7&lt;&gt;"vst"</xm:f>
            <x14:dxf>
              <font>
                <color theme="0"/>
              </font>
            </x14:dxf>
          </x14:cfRule>
          <xm:sqref>N11:Q11</xm:sqref>
        </x14:conditionalFormatting>
        <x14:conditionalFormatting xmlns:xm="http://schemas.microsoft.com/office/excel/2006/main">
          <x14:cfRule type="expression" priority="20" id="{CE474828-A995-4F41-9755-066A530E2E9F}">
            <xm:f>'B2_Allgemeine Angaben'!$D$7&lt;&gt;"vst"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N12:R14</xm:sqref>
        </x14:conditionalFormatting>
        <x14:conditionalFormatting xmlns:xm="http://schemas.microsoft.com/office/excel/2006/main">
          <x14:cfRule type="expression" priority="41" id="{4AD6B331-DE55-4481-B3E0-93D96532B7D6}">
            <xm:f>'B2_Allgemeine Angaben'!$L$48=0</xm:f>
            <x14:dxf>
              <font>
                <color theme="0" tint="-0.1499679555650502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42" id="{ACC04F98-0927-467E-93C0-4B58A83A0197}">
            <xm:f>'B2_Allgemeine Angaben'!$L$48=0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O19:O34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8159C5E-1ABA-47F0-A4F9-A64E901C126C}">
          <x14:formula1>
            <xm:f>KAT!$I$108:$I$110</xm:f>
          </x14:formula1>
          <xm:sqref>K19</xm:sqref>
        </x14:dataValidation>
        <x14:dataValidation type="custom" allowBlank="1" showInputMessage="1" showErrorMessage="1" error="Forderung liegt über max. Steigerungsrate." xr:uid="{00000000-0002-0000-0200-000004000000}">
          <x14:formula1>
            <xm:f>N29&lt;KAT!M103+0.001%</xm:f>
          </x14:formula1>
          <xm:sqref>N29:N33</xm:sqref>
        </x14:dataValidation>
        <x14:dataValidation type="custom" allowBlank="1" showInputMessage="1" showErrorMessage="1" error="Forderung liegt über max. Steigerungsrate (3,50%)." xr:uid="{00000000-0002-0000-0200-000005000000}">
          <x14:formula1>
            <xm:f>M36&lt;KAT!L111+0.001%</xm:f>
          </x14:formula1>
          <xm:sqref>M36</xm:sqref>
        </x14:dataValidation>
        <x14:dataValidation type="custom" allowBlank="1" showInputMessage="1" showErrorMessage="1" error="Forderung liegt über max. Steigerungsrate (5,00%)." xr:uid="{00000000-0002-0000-0200-000006000000}">
          <x14:formula1>
            <xm:f>M29&lt;KAT!L103+0.001%</xm:f>
          </x14:formula1>
          <xm:sqref>M29:M33</xm:sqref>
        </x14:dataValidation>
        <x14:dataValidation type="custom" allowBlank="1" showInputMessage="1" showErrorMessage="1" error="Forderung liegt über max. Steigerungsrate (5,00%)." xr:uid="{00000000-0002-0000-0200-000007000000}">
          <x14:formula1>
            <xm:f>M49&lt;KAT!L112+0.001%</xm:f>
          </x14:formula1>
          <xm:sqref>M49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J383"/>
  <sheetViews>
    <sheetView showGridLines="0" zoomScaleNormal="100" workbookViewId="0">
      <selection activeCell="D17" sqref="D17:D19"/>
    </sheetView>
  </sheetViews>
  <sheetFormatPr baseColWidth="10" defaultColWidth="11" defaultRowHeight="12.75" x14ac:dyDescent="0.2"/>
  <cols>
    <col min="1" max="1" width="29.5" style="321" customWidth="1"/>
    <col min="2" max="2" width="24" style="321" customWidth="1"/>
    <col min="3" max="5" width="12.625" style="321" customWidth="1"/>
    <col min="6" max="7" width="16.625" style="321" customWidth="1"/>
    <col min="8" max="8" width="14.625" style="321" customWidth="1"/>
    <col min="9" max="9" width="16.875" style="321" customWidth="1"/>
    <col min="10" max="16" width="14.625" style="321" customWidth="1"/>
    <col min="17" max="17" width="16.875" style="321" customWidth="1"/>
    <col min="18" max="19" width="20.625" style="321" customWidth="1"/>
    <col min="20" max="20" width="5.625" style="321" hidden="1" customWidth="1"/>
    <col min="21" max="38" width="20.625" style="321" hidden="1" customWidth="1"/>
    <col min="39" max="39" width="20.625" style="377" hidden="1" customWidth="1"/>
    <col min="40" max="40" width="20.625" style="424" hidden="1" customWidth="1"/>
    <col min="41" max="53" width="20.625" style="440" hidden="1" customWidth="1"/>
    <col min="54" max="57" width="11" style="320" hidden="1" customWidth="1"/>
    <col min="58" max="68" width="11" style="321" customWidth="1"/>
    <col min="69" max="16384" width="11" style="321"/>
  </cols>
  <sheetData>
    <row r="1" spans="1:62" ht="15.75" x14ac:dyDescent="0.2">
      <c r="A1" s="1145" t="str">
        <f>'B2_Allgemeine Angaben'!A1:N1</f>
        <v>Vereinfachtes Verfahren der Aufforderung zum Abschluss einer Pflegesatzvereinbarung gemäß § 84, 85 SGB XI (Stand 31.10.2024)</v>
      </c>
      <c r="B1" s="1146"/>
      <c r="C1" s="1147"/>
      <c r="D1" s="1147"/>
      <c r="E1" s="1147"/>
      <c r="F1" s="1147"/>
      <c r="G1" s="1147"/>
      <c r="H1" s="1147"/>
      <c r="I1" s="1147"/>
      <c r="J1" s="1147"/>
      <c r="K1" s="1147"/>
      <c r="L1" s="1147"/>
      <c r="M1" s="1147"/>
      <c r="N1" s="1147"/>
      <c r="O1" s="1147"/>
      <c r="P1" s="1147"/>
      <c r="Q1" s="1147"/>
      <c r="R1" s="1147"/>
      <c r="S1" s="1148"/>
      <c r="T1" s="319"/>
      <c r="U1" s="447" t="s">
        <v>486</v>
      </c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742"/>
      <c r="AN1" s="756"/>
      <c r="AO1" s="772"/>
      <c r="AP1" s="772"/>
      <c r="AQ1" s="772"/>
      <c r="AR1" s="772"/>
      <c r="AS1" s="772"/>
      <c r="AT1" s="772"/>
      <c r="AU1" s="772"/>
      <c r="AV1" s="772"/>
      <c r="AW1" s="772"/>
      <c r="AX1" s="772"/>
      <c r="AY1" s="772"/>
      <c r="AZ1" s="772"/>
      <c r="BA1" s="772"/>
      <c r="BF1" s="422"/>
      <c r="BG1" s="423"/>
      <c r="BH1" s="424"/>
      <c r="BJ1" s="425"/>
    </row>
    <row r="2" spans="1:62" ht="18" customHeight="1" thickBot="1" x14ac:dyDescent="0.25">
      <c r="A2" s="1149" t="s">
        <v>342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  <c r="O2" s="1150"/>
      <c r="P2" s="1150"/>
      <c r="Q2" s="1150"/>
      <c r="R2" s="1150"/>
      <c r="S2" s="1151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742"/>
      <c r="AN2" s="756"/>
      <c r="AO2" s="772"/>
      <c r="AP2" s="772"/>
      <c r="AQ2" s="772"/>
      <c r="AR2" s="772"/>
      <c r="AS2" s="772"/>
      <c r="AT2" s="772"/>
      <c r="AU2" s="772"/>
      <c r="AV2" s="772"/>
      <c r="AW2" s="772"/>
      <c r="AX2" s="772"/>
      <c r="AY2" s="772"/>
      <c r="AZ2" s="772"/>
      <c r="BA2" s="772"/>
      <c r="BF2" s="426"/>
      <c r="BG2" s="427"/>
      <c r="BH2" s="428"/>
      <c r="BI2" s="429"/>
    </row>
    <row r="3" spans="1:62" ht="15" customHeight="1" x14ac:dyDescent="0.2">
      <c r="A3" s="1152" t="s">
        <v>343</v>
      </c>
      <c r="B3" s="1153">
        <f>IFERROR('B2_Allgemeine Angaben'!D12:D12,"")</f>
        <v>0</v>
      </c>
      <c r="C3" s="1154"/>
      <c r="D3" s="1154"/>
      <c r="E3" s="1749"/>
      <c r="F3" s="1749"/>
      <c r="G3" s="1749"/>
      <c r="H3" s="1749"/>
      <c r="I3" s="1749"/>
      <c r="J3" s="1749"/>
      <c r="K3" s="1749"/>
      <c r="L3" s="1749"/>
      <c r="M3" s="1749"/>
      <c r="N3" s="1155"/>
      <c r="O3" s="1155"/>
      <c r="P3" s="1155"/>
      <c r="Q3" s="1155"/>
      <c r="R3" s="1155"/>
      <c r="S3" s="1156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742"/>
      <c r="AN3" s="756"/>
      <c r="AO3" s="772"/>
      <c r="AP3" s="772"/>
      <c r="AQ3" s="772"/>
      <c r="AR3" s="772"/>
      <c r="AS3" s="772"/>
      <c r="AT3" s="772"/>
      <c r="AU3" s="772"/>
      <c r="AV3" s="772"/>
      <c r="AW3" s="772"/>
      <c r="AX3" s="772"/>
      <c r="AY3" s="772"/>
      <c r="AZ3" s="772"/>
      <c r="BA3" s="772"/>
      <c r="BB3" s="320" t="s">
        <v>131</v>
      </c>
      <c r="BF3" s="430"/>
      <c r="BI3" s="194"/>
    </row>
    <row r="4" spans="1:62" ht="15.75" customHeight="1" x14ac:dyDescent="0.2">
      <c r="A4" s="1157" t="s">
        <v>344</v>
      </c>
      <c r="B4" s="1158">
        <f>IFERROR('B2_Allgemeine Angaben'!D16:D16,"")</f>
        <v>0</v>
      </c>
      <c r="C4" s="1159"/>
      <c r="D4" s="1159"/>
      <c r="E4" s="1750"/>
      <c r="F4" s="1750"/>
      <c r="G4" s="1750"/>
      <c r="H4" s="1750"/>
      <c r="I4" s="1750"/>
      <c r="J4" s="1750"/>
      <c r="K4" s="1750"/>
      <c r="L4" s="1750"/>
      <c r="M4" s="1750"/>
      <c r="N4" s="1160"/>
      <c r="O4" s="1160"/>
      <c r="P4" s="1160"/>
      <c r="Q4" s="1160"/>
      <c r="R4" s="1160"/>
      <c r="S4" s="1161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742"/>
      <c r="AN4" s="756"/>
      <c r="AO4" s="772"/>
      <c r="AP4" s="772"/>
      <c r="AQ4" s="772"/>
      <c r="AR4" s="772"/>
      <c r="AS4" s="772"/>
      <c r="AT4" s="772"/>
      <c r="AU4" s="772"/>
      <c r="AV4" s="772"/>
      <c r="AW4" s="772"/>
      <c r="AX4" s="772"/>
      <c r="AY4" s="772"/>
      <c r="AZ4" s="772"/>
      <c r="BA4" s="772"/>
      <c r="BF4" s="431"/>
    </row>
    <row r="5" spans="1:62" ht="15" customHeight="1" thickBot="1" x14ac:dyDescent="0.25">
      <c r="A5" s="1162" t="s">
        <v>2</v>
      </c>
      <c r="B5" s="1163">
        <f>IFERROR('B2_Allgemeine Angaben'!L6:L6,"")</f>
        <v>0</v>
      </c>
      <c r="C5" s="1761" t="s">
        <v>447</v>
      </c>
      <c r="D5" s="1761"/>
      <c r="E5" s="1164"/>
      <c r="F5" s="1164"/>
      <c r="G5" s="1164"/>
      <c r="H5" s="1164"/>
      <c r="I5" s="1164"/>
      <c r="J5" s="1164"/>
      <c r="K5" s="1164"/>
      <c r="L5" s="1164"/>
      <c r="M5" s="1164"/>
      <c r="N5" s="1165" t="str">
        <f>'B2_Allgemeine Angaben'!K4</f>
        <v>Antrag vom:</v>
      </c>
      <c r="O5" s="1166">
        <f>'B2_Allgemeine Angaben'!L4</f>
        <v>0</v>
      </c>
      <c r="P5" s="1167"/>
      <c r="Q5" s="1167"/>
      <c r="R5" s="1167"/>
      <c r="S5" s="1168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742"/>
      <c r="AN5" s="756"/>
      <c r="AO5" s="772"/>
      <c r="AP5" s="772"/>
      <c r="AQ5" s="772"/>
      <c r="AR5" s="772"/>
      <c r="AS5" s="772"/>
      <c r="AT5" s="772"/>
      <c r="AU5" s="772"/>
      <c r="AV5" s="772"/>
      <c r="AW5" s="772"/>
      <c r="AX5" s="772"/>
      <c r="AY5" s="772"/>
      <c r="AZ5" s="772"/>
      <c r="BA5" s="772"/>
      <c r="BF5" s="432"/>
    </row>
    <row r="6" spans="1:62" ht="19.5" customHeight="1" thickBot="1" x14ac:dyDescent="0.25">
      <c r="A6" s="1751" t="s">
        <v>345</v>
      </c>
      <c r="B6" s="1752"/>
      <c r="C6" s="1753"/>
      <c r="D6" s="1753"/>
      <c r="E6" s="1753"/>
      <c r="F6" s="1753"/>
      <c r="G6" s="1753"/>
      <c r="H6" s="1753"/>
      <c r="I6" s="1753"/>
      <c r="J6" s="1753"/>
      <c r="K6" s="1753"/>
      <c r="L6" s="1753"/>
      <c r="M6" s="1753"/>
      <c r="N6" s="1753"/>
      <c r="O6" s="1753"/>
      <c r="P6" s="1753"/>
      <c r="Q6" s="1753"/>
      <c r="R6" s="1753"/>
      <c r="S6" s="1754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743"/>
      <c r="AN6" s="757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773"/>
      <c r="AZ6" s="773"/>
      <c r="BA6" s="773"/>
      <c r="BF6" s="433"/>
    </row>
    <row r="7" spans="1:62" ht="15" customHeight="1" x14ac:dyDescent="0.2">
      <c r="A7" s="1169"/>
      <c r="B7" s="1160"/>
      <c r="C7" s="1160"/>
      <c r="D7" s="1158"/>
      <c r="E7" s="1158" t="s">
        <v>456</v>
      </c>
      <c r="F7" s="1170"/>
      <c r="G7" s="1171" t="s">
        <v>133</v>
      </c>
      <c r="H7" s="1172"/>
      <c r="I7" s="1160"/>
      <c r="J7" s="1160"/>
      <c r="K7" s="1160"/>
      <c r="L7" s="1160"/>
      <c r="M7" s="1160"/>
      <c r="N7" s="1160"/>
      <c r="O7" s="1160"/>
      <c r="P7" s="1160"/>
      <c r="Q7" s="1160"/>
      <c r="R7" s="1160"/>
      <c r="S7" s="1161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742"/>
      <c r="AN7" s="756"/>
      <c r="AO7" s="772"/>
      <c r="AP7" s="772"/>
      <c r="AQ7" s="772"/>
      <c r="AR7" s="772"/>
      <c r="AS7" s="772"/>
      <c r="AT7" s="772"/>
      <c r="AU7" s="772"/>
      <c r="AV7" s="772"/>
      <c r="AW7" s="772"/>
      <c r="AX7" s="772"/>
      <c r="AY7" s="772"/>
      <c r="AZ7" s="772"/>
      <c r="BA7" s="772"/>
      <c r="BF7" s="431"/>
    </row>
    <row r="8" spans="1:62" ht="15" customHeight="1" x14ac:dyDescent="0.2">
      <c r="A8" s="1173"/>
      <c r="B8" s="1160"/>
      <c r="C8" s="1158"/>
      <c r="D8" s="1158"/>
      <c r="E8" s="1158" t="s">
        <v>457</v>
      </c>
      <c r="F8" s="1170"/>
      <c r="G8" s="1758"/>
      <c r="H8" s="1759"/>
      <c r="I8" s="1760"/>
      <c r="J8" s="1174"/>
      <c r="K8" s="1174"/>
      <c r="L8" s="1158"/>
      <c r="M8" s="1158"/>
      <c r="N8" s="1160"/>
      <c r="O8" s="1160"/>
      <c r="P8" s="1160"/>
      <c r="Q8" s="1160" t="s">
        <v>400</v>
      </c>
      <c r="R8" s="1175">
        <v>2</v>
      </c>
      <c r="S8" s="1161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742"/>
      <c r="AN8" s="756"/>
      <c r="AO8" s="772"/>
      <c r="AP8" s="772"/>
      <c r="AQ8" s="772"/>
      <c r="AR8" s="772"/>
      <c r="AS8" s="772"/>
      <c r="AT8" s="772"/>
      <c r="AU8" s="772"/>
      <c r="AV8" s="772"/>
      <c r="AW8" s="772"/>
      <c r="AX8" s="772"/>
      <c r="AY8" s="772"/>
      <c r="AZ8" s="772"/>
      <c r="BA8" s="772"/>
      <c r="BF8" s="433"/>
    </row>
    <row r="9" spans="1:62" ht="15" customHeight="1" x14ac:dyDescent="0.2">
      <c r="A9" s="1173"/>
      <c r="B9" s="1160"/>
      <c r="C9" s="1176"/>
      <c r="D9" s="1176"/>
      <c r="E9" s="1176" t="s">
        <v>403</v>
      </c>
      <c r="F9" s="1170"/>
      <c r="G9" s="1755"/>
      <c r="H9" s="1756"/>
      <c r="I9" s="1756"/>
      <c r="J9" s="1756"/>
      <c r="K9" s="1757"/>
      <c r="L9" s="1160"/>
      <c r="M9" s="1160"/>
      <c r="N9" s="1160"/>
      <c r="O9" s="1160"/>
      <c r="P9" s="1160"/>
      <c r="Q9" s="1160" t="s">
        <v>417</v>
      </c>
      <c r="R9" s="1175">
        <v>2</v>
      </c>
      <c r="S9" s="1161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742"/>
      <c r="AN9" s="756"/>
      <c r="AO9" s="772"/>
      <c r="AP9" s="772"/>
      <c r="AQ9" s="772"/>
      <c r="AR9" s="772"/>
      <c r="AS9" s="772"/>
      <c r="AT9" s="772"/>
      <c r="AU9" s="772"/>
      <c r="AV9" s="772"/>
      <c r="AW9" s="772"/>
      <c r="AX9" s="772"/>
      <c r="AY9" s="772"/>
      <c r="AZ9" s="772"/>
      <c r="BA9" s="772"/>
      <c r="BF9" s="431"/>
    </row>
    <row r="10" spans="1:62" ht="14.25" x14ac:dyDescent="0.2">
      <c r="A10" s="1177"/>
      <c r="B10" s="1178"/>
      <c r="C10" s="1158"/>
      <c r="D10" s="1176"/>
      <c r="E10" s="1176" t="s">
        <v>453</v>
      </c>
      <c r="F10" s="1172"/>
      <c r="G10" s="1739"/>
      <c r="H10" s="1740"/>
      <c r="I10" s="1740"/>
      <c r="J10" s="1740"/>
      <c r="K10" s="1741"/>
      <c r="L10" s="1160"/>
      <c r="M10" s="1160"/>
      <c r="N10" s="322"/>
      <c r="O10" s="1179"/>
      <c r="P10" s="1179"/>
      <c r="Q10" s="323"/>
      <c r="R10" s="1178"/>
      <c r="S10" s="1161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742"/>
      <c r="AN10" s="756"/>
      <c r="AO10" s="772"/>
      <c r="AP10" s="772"/>
      <c r="AQ10" s="772"/>
      <c r="AR10" s="772"/>
      <c r="AS10" s="772"/>
      <c r="AT10" s="772"/>
      <c r="AU10" s="772"/>
      <c r="AV10" s="772"/>
      <c r="AW10" s="772"/>
      <c r="AX10" s="772"/>
      <c r="AY10" s="772"/>
      <c r="AZ10" s="772"/>
      <c r="BA10" s="772"/>
      <c r="BB10" s="320" t="s">
        <v>133</v>
      </c>
      <c r="BF10" s="434"/>
    </row>
    <row r="11" spans="1:62" ht="15" customHeight="1" x14ac:dyDescent="0.2">
      <c r="A11" s="1157"/>
      <c r="B11" s="1158"/>
      <c r="C11" s="1158"/>
      <c r="D11" s="1180"/>
      <c r="E11" s="1172"/>
      <c r="F11" s="1172"/>
      <c r="G11" s="1180"/>
      <c r="H11" s="1180"/>
      <c r="I11" s="1172"/>
      <c r="J11" s="1180"/>
      <c r="K11" s="1180"/>
      <c r="L11" s="1180"/>
      <c r="M11" s="1172"/>
      <c r="N11" s="322"/>
      <c r="O11" s="1179"/>
      <c r="P11" s="1179"/>
      <c r="Q11" s="323"/>
      <c r="R11" s="1178"/>
      <c r="S11" s="1161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742"/>
      <c r="AN11" s="756"/>
      <c r="AO11" s="772"/>
      <c r="AP11" s="772"/>
      <c r="AQ11" s="772"/>
      <c r="AR11" s="772"/>
      <c r="AS11" s="772"/>
      <c r="AT11" s="772"/>
      <c r="AU11" s="772"/>
      <c r="AV11" s="772"/>
      <c r="AW11" s="772"/>
      <c r="AX11" s="772"/>
      <c r="AY11" s="772"/>
      <c r="AZ11" s="772"/>
      <c r="BA11" s="772"/>
      <c r="BF11" s="435"/>
    </row>
    <row r="12" spans="1:62" x14ac:dyDescent="0.2">
      <c r="A12" s="1157"/>
      <c r="B12" s="1158"/>
      <c r="C12" s="1158"/>
      <c r="D12" s="1158"/>
      <c r="E12" s="1158"/>
      <c r="F12" s="1158" t="s">
        <v>346</v>
      </c>
      <c r="G12" s="1158"/>
      <c r="H12" s="1158"/>
      <c r="I12" s="1158"/>
      <c r="J12" s="804"/>
      <c r="K12" s="1158" t="s">
        <v>347</v>
      </c>
      <c r="L12" s="1181"/>
      <c r="M12" s="1158"/>
      <c r="N12" s="1182" t="s">
        <v>348</v>
      </c>
      <c r="O12" s="1183"/>
      <c r="P12" s="1183"/>
      <c r="Q12" s="1183"/>
      <c r="R12" s="1183"/>
      <c r="S12" s="1184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742"/>
      <c r="AN12" s="756"/>
      <c r="AO12" s="772"/>
      <c r="AP12" s="772"/>
      <c r="AQ12" s="772"/>
      <c r="AR12" s="772"/>
      <c r="AS12" s="772"/>
      <c r="AT12" s="772"/>
      <c r="AU12" s="772"/>
      <c r="AV12" s="772"/>
      <c r="AW12" s="772"/>
      <c r="AX12" s="772"/>
      <c r="AY12" s="772"/>
      <c r="AZ12" s="772"/>
      <c r="BA12" s="772"/>
      <c r="BF12" s="435"/>
    </row>
    <row r="13" spans="1:62" x14ac:dyDescent="0.2">
      <c r="A13" s="1185"/>
      <c r="B13" s="1186"/>
      <c r="C13" s="1158"/>
      <c r="D13" s="1158"/>
      <c r="E13" s="1158"/>
      <c r="F13" s="1158" t="s">
        <v>349</v>
      </c>
      <c r="G13" s="1158"/>
      <c r="H13" s="1158"/>
      <c r="I13" s="1158"/>
      <c r="J13" s="513"/>
      <c r="K13" s="1158" t="s">
        <v>347</v>
      </c>
      <c r="L13" s="1181"/>
      <c r="M13" s="1158"/>
      <c r="N13" s="1187" t="s">
        <v>350</v>
      </c>
      <c r="O13" s="298"/>
      <c r="P13" s="298"/>
      <c r="Q13" s="298"/>
      <c r="R13" s="815"/>
      <c r="S13" s="816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742"/>
      <c r="AN13" s="756"/>
      <c r="AO13" s="772"/>
      <c r="AP13" s="772"/>
      <c r="AQ13" s="772"/>
      <c r="AR13" s="772"/>
      <c r="AS13" s="772"/>
      <c r="AT13" s="772"/>
      <c r="AU13" s="772"/>
      <c r="AV13" s="772"/>
      <c r="AW13" s="772"/>
      <c r="AX13" s="772"/>
      <c r="AY13" s="772"/>
      <c r="AZ13" s="772"/>
      <c r="BA13" s="772"/>
      <c r="BD13" s="320" t="s">
        <v>10</v>
      </c>
      <c r="BE13" s="320" t="s">
        <v>351</v>
      </c>
      <c r="BF13" s="434"/>
    </row>
    <row r="14" spans="1:62" ht="14.25" customHeight="1" x14ac:dyDescent="0.2">
      <c r="A14" s="1157"/>
      <c r="B14" s="1158"/>
      <c r="C14" s="1158"/>
      <c r="D14" s="1158"/>
      <c r="E14" s="1158"/>
      <c r="F14" s="1158"/>
      <c r="G14" s="1158"/>
      <c r="H14" s="1158"/>
      <c r="I14" s="1158"/>
      <c r="J14" s="1158"/>
      <c r="K14" s="1158"/>
      <c r="L14" s="1158"/>
      <c r="M14" s="1158"/>
      <c r="N14" s="1188" t="s">
        <v>352</v>
      </c>
      <c r="O14" s="299"/>
      <c r="P14" s="299"/>
      <c r="Q14" s="299"/>
      <c r="R14" s="300"/>
      <c r="S14" s="324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744"/>
      <c r="AN14" s="758"/>
      <c r="AO14" s="774"/>
      <c r="AP14" s="774"/>
      <c r="AQ14" s="774"/>
      <c r="AR14" s="774"/>
      <c r="AS14" s="774"/>
      <c r="AT14" s="774"/>
      <c r="AU14" s="774"/>
      <c r="AV14" s="774"/>
      <c r="AW14" s="774"/>
      <c r="AX14" s="774"/>
      <c r="AY14" s="774"/>
      <c r="AZ14" s="774"/>
      <c r="BA14" s="774"/>
      <c r="BD14" s="320" t="s">
        <v>353</v>
      </c>
      <c r="BE14" s="320" t="s">
        <v>354</v>
      </c>
      <c r="BF14" s="431"/>
    </row>
    <row r="15" spans="1:62" ht="15" customHeight="1" thickBot="1" x14ac:dyDescent="0.25">
      <c r="A15" s="1189" t="s">
        <v>355</v>
      </c>
      <c r="B15" s="1163"/>
      <c r="C15" s="1190"/>
      <c r="D15" s="1191"/>
      <c r="E15" s="1167"/>
      <c r="F15" s="1190" t="s">
        <v>418</v>
      </c>
      <c r="G15" s="1167"/>
      <c r="H15" s="1167"/>
      <c r="I15" s="1167"/>
      <c r="J15" s="804"/>
      <c r="K15" s="1165" t="s">
        <v>347</v>
      </c>
      <c r="L15" s="1181"/>
      <c r="M15" s="1165"/>
      <c r="N15" s="1167"/>
      <c r="O15" s="1167"/>
      <c r="P15" s="1167"/>
      <c r="Q15" s="1167"/>
      <c r="R15" s="1167"/>
      <c r="S15" s="1168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742"/>
      <c r="AN15" s="756"/>
      <c r="AO15" s="772"/>
      <c r="AP15" s="772"/>
      <c r="AQ15" s="772"/>
      <c r="AR15" s="772"/>
      <c r="AS15" s="772"/>
      <c r="AT15" s="772"/>
      <c r="AU15" s="772"/>
      <c r="AV15" s="772"/>
      <c r="AW15" s="772"/>
      <c r="AX15" s="772"/>
      <c r="AY15" s="772"/>
      <c r="AZ15" s="772"/>
      <c r="BA15" s="772"/>
      <c r="BD15" s="320" t="s">
        <v>356</v>
      </c>
    </row>
    <row r="16" spans="1:62" ht="15" customHeight="1" thickBot="1" x14ac:dyDescent="0.25">
      <c r="A16" s="694"/>
      <c r="B16" s="695"/>
      <c r="C16" s="1192"/>
      <c r="D16" s="1192"/>
      <c r="E16" s="1192"/>
      <c r="F16" s="1192"/>
      <c r="G16" s="1192"/>
      <c r="H16" s="1192"/>
      <c r="I16" s="1192"/>
      <c r="J16" s="1192"/>
      <c r="K16" s="1192"/>
      <c r="L16" s="1192"/>
      <c r="M16" s="1192"/>
      <c r="N16" s="1192"/>
      <c r="O16" s="1192"/>
      <c r="P16" s="1192"/>
      <c r="Q16" s="1192"/>
      <c r="R16" s="1192"/>
      <c r="S16" s="1193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745"/>
      <c r="AN16" s="759"/>
      <c r="AO16" s="775"/>
      <c r="AP16" s="775"/>
      <c r="AQ16" s="775"/>
      <c r="AR16" s="775"/>
      <c r="AS16" s="775"/>
      <c r="AT16" s="775"/>
      <c r="AU16" s="775"/>
      <c r="AV16" s="775"/>
      <c r="AW16" s="775"/>
      <c r="AX16" s="775"/>
      <c r="AY16" s="775"/>
      <c r="AZ16" s="775"/>
      <c r="BA16" s="775"/>
      <c r="BD16" s="320" t="s">
        <v>357</v>
      </c>
      <c r="BF16" s="424"/>
    </row>
    <row r="17" spans="1:59" ht="51" customHeight="1" x14ac:dyDescent="0.2">
      <c r="A17" s="1727" t="s">
        <v>358</v>
      </c>
      <c r="B17" s="1194"/>
      <c r="C17" s="1730" t="s">
        <v>359</v>
      </c>
      <c r="D17" s="1821" t="s">
        <v>404</v>
      </c>
      <c r="E17" s="1821" t="s">
        <v>360</v>
      </c>
      <c r="F17" s="1823" t="s">
        <v>361</v>
      </c>
      <c r="G17" s="1819" t="s">
        <v>414</v>
      </c>
      <c r="H17" s="1820"/>
      <c r="I17" s="1820"/>
      <c r="J17" s="1820"/>
      <c r="K17" s="1820"/>
      <c r="L17" s="1820"/>
      <c r="M17" s="1820"/>
      <c r="N17" s="1744" t="s">
        <v>398</v>
      </c>
      <c r="O17" s="1745"/>
      <c r="P17" s="1742" t="s">
        <v>399</v>
      </c>
      <c r="Q17" s="1743"/>
      <c r="R17" s="1718" t="s">
        <v>415</v>
      </c>
      <c r="S17" s="1812" t="s">
        <v>416</v>
      </c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746"/>
      <c r="AN17" s="760"/>
      <c r="AO17" s="776"/>
      <c r="AP17" s="776"/>
      <c r="AQ17" s="776"/>
      <c r="AR17" s="776"/>
      <c r="AS17" s="776"/>
      <c r="AT17" s="776"/>
      <c r="AU17" s="776"/>
      <c r="AV17" s="776"/>
      <c r="AW17" s="776"/>
      <c r="AX17" s="776"/>
      <c r="AY17" s="776"/>
      <c r="AZ17" s="776"/>
      <c r="BA17" s="776"/>
      <c r="BD17" s="320" t="s">
        <v>362</v>
      </c>
      <c r="BF17" s="424"/>
      <c r="BG17" s="436"/>
    </row>
    <row r="18" spans="1:59" ht="49.5" customHeight="1" x14ac:dyDescent="0.2">
      <c r="A18" s="1728"/>
      <c r="B18" s="1195" t="s">
        <v>462</v>
      </c>
      <c r="C18" s="1731"/>
      <c r="D18" s="1718"/>
      <c r="E18" s="1718"/>
      <c r="F18" s="1824"/>
      <c r="G18" s="1814" t="s">
        <v>363</v>
      </c>
      <c r="H18" s="1746" t="s">
        <v>458</v>
      </c>
      <c r="I18" s="1746" t="s">
        <v>364</v>
      </c>
      <c r="J18" s="1816" t="s">
        <v>459</v>
      </c>
      <c r="K18" s="1817"/>
      <c r="L18" s="1816" t="s">
        <v>460</v>
      </c>
      <c r="M18" s="1817"/>
      <c r="N18" s="1710" t="s">
        <v>365</v>
      </c>
      <c r="O18" s="1710" t="s">
        <v>366</v>
      </c>
      <c r="P18" s="1712" t="s">
        <v>484</v>
      </c>
      <c r="Q18" s="1713"/>
      <c r="R18" s="1718"/>
      <c r="S18" s="1813"/>
      <c r="T18" s="1723" t="s">
        <v>367</v>
      </c>
      <c r="U18" s="1724"/>
      <c r="V18" s="1724"/>
      <c r="W18" s="1724"/>
      <c r="X18" s="1724"/>
      <c r="Y18" s="1724"/>
      <c r="Z18" s="1724"/>
      <c r="AA18" s="1724"/>
      <c r="AB18" s="1724"/>
      <c r="AC18" s="1724"/>
      <c r="AD18" s="1724"/>
      <c r="AE18" s="1724"/>
      <c r="AF18" s="1724"/>
      <c r="AG18" s="1724"/>
      <c r="AH18" s="1724"/>
      <c r="AI18" s="1724"/>
      <c r="AJ18" s="1724"/>
      <c r="AK18" s="1724"/>
      <c r="AL18" s="1724"/>
      <c r="AM18" s="747"/>
      <c r="AN18" s="761"/>
      <c r="AO18" s="777"/>
      <c r="AP18" s="777"/>
      <c r="AQ18" s="777"/>
      <c r="AR18" s="777"/>
      <c r="AS18" s="777"/>
      <c r="AT18" s="777"/>
      <c r="AU18" s="777"/>
      <c r="AV18" s="777"/>
      <c r="AW18" s="777"/>
      <c r="AX18" s="777"/>
      <c r="AY18" s="777"/>
      <c r="AZ18" s="777"/>
      <c r="BA18" s="777"/>
      <c r="BF18" s="424"/>
      <c r="BG18" s="436"/>
    </row>
    <row r="19" spans="1:59" ht="20.25" customHeight="1" thickBot="1" x14ac:dyDescent="0.3">
      <c r="A19" s="1729"/>
      <c r="B19" s="1196"/>
      <c r="C19" s="1731"/>
      <c r="D19" s="1822"/>
      <c r="E19" s="1822"/>
      <c r="F19" s="1825"/>
      <c r="G19" s="1815"/>
      <c r="H19" s="1747"/>
      <c r="I19" s="1747"/>
      <c r="J19" s="1197" t="s">
        <v>368</v>
      </c>
      <c r="K19" s="1197" t="s">
        <v>369</v>
      </c>
      <c r="L19" s="1197" t="s">
        <v>368</v>
      </c>
      <c r="M19" s="1197" t="s">
        <v>369</v>
      </c>
      <c r="N19" s="1818"/>
      <c r="O19" s="1711"/>
      <c r="P19" s="1198" t="s">
        <v>368</v>
      </c>
      <c r="Q19" s="1199" t="s">
        <v>369</v>
      </c>
      <c r="R19" s="1718"/>
      <c r="S19" s="1813"/>
      <c r="T19" s="325"/>
      <c r="U19" s="327" t="s">
        <v>461</v>
      </c>
      <c r="V19" s="326" t="s">
        <v>406</v>
      </c>
      <c r="W19" s="327" t="s">
        <v>407</v>
      </c>
      <c r="X19" s="327" t="s">
        <v>408</v>
      </c>
      <c r="Y19" s="326" t="s">
        <v>405</v>
      </c>
      <c r="Z19" s="326" t="s">
        <v>406</v>
      </c>
      <c r="AA19" s="327" t="s">
        <v>407</v>
      </c>
      <c r="AB19" s="327" t="s">
        <v>408</v>
      </c>
      <c r="AC19" s="326" t="s">
        <v>405</v>
      </c>
      <c r="AD19" s="326" t="s">
        <v>406</v>
      </c>
      <c r="AE19" s="327" t="s">
        <v>407</v>
      </c>
      <c r="AF19" s="327" t="s">
        <v>408</v>
      </c>
      <c r="AG19" s="1725" t="s">
        <v>370</v>
      </c>
      <c r="AH19" s="1725"/>
      <c r="AI19" s="1725"/>
      <c r="AJ19" s="1726" t="s">
        <v>371</v>
      </c>
      <c r="AK19" s="1726"/>
      <c r="AL19" s="1726"/>
      <c r="AM19" s="1717" t="s">
        <v>892</v>
      </c>
      <c r="AN19" s="1717"/>
      <c r="AO19" s="1717"/>
      <c r="AP19" s="1705" t="s">
        <v>1109</v>
      </c>
      <c r="AQ19" s="1705"/>
      <c r="AR19" s="1705"/>
      <c r="AS19" s="1706" t="s">
        <v>1110</v>
      </c>
      <c r="AT19" s="1707"/>
      <c r="AU19" s="1707"/>
      <c r="AV19" s="1708"/>
      <c r="AW19" s="860"/>
      <c r="AX19" s="860"/>
      <c r="AY19" s="860"/>
      <c r="AZ19" s="860"/>
      <c r="BA19" s="860"/>
      <c r="BF19" s="437"/>
      <c r="BG19" s="1799"/>
    </row>
    <row r="20" spans="1:59" ht="12.75" hidden="1" customHeight="1" thickBot="1" x14ac:dyDescent="0.25">
      <c r="A20" s="303"/>
      <c r="B20" s="304"/>
      <c r="C20" s="304"/>
      <c r="D20" s="304"/>
      <c r="E20" s="304" t="s">
        <v>372</v>
      </c>
      <c r="F20" s="304"/>
      <c r="G20" s="1200"/>
      <c r="H20" s="1200"/>
      <c r="I20" s="1201"/>
      <c r="J20" s="1200"/>
      <c r="K20" s="1200"/>
      <c r="L20" s="1200"/>
      <c r="M20" s="1200"/>
      <c r="N20" s="1200"/>
      <c r="O20" s="1202"/>
      <c r="P20" s="1203"/>
      <c r="Q20" s="1203"/>
      <c r="R20" s="1203"/>
      <c r="S20" s="1204"/>
      <c r="T20" s="328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748"/>
      <c r="AN20" s="762"/>
      <c r="AO20" s="778"/>
      <c r="AP20" s="778"/>
      <c r="AQ20" s="778"/>
      <c r="AR20" s="778"/>
      <c r="AS20" s="778"/>
      <c r="AT20" s="778"/>
      <c r="AU20" s="778"/>
      <c r="AV20" s="778"/>
      <c r="AW20" s="778"/>
      <c r="AX20" s="778"/>
      <c r="AY20" s="778"/>
      <c r="AZ20" s="778"/>
      <c r="BA20" s="778"/>
      <c r="BD20" s="330" t="s">
        <v>373</v>
      </c>
      <c r="BG20" s="1799"/>
    </row>
    <row r="21" spans="1:59" ht="30" customHeight="1" thickBot="1" x14ac:dyDescent="0.25">
      <c r="A21" s="1205" t="s">
        <v>374</v>
      </c>
      <c r="B21" s="1206"/>
      <c r="C21" s="1207"/>
      <c r="D21" s="1208"/>
      <c r="E21" s="1207"/>
      <c r="F21" s="1207"/>
      <c r="G21" s="1207"/>
      <c r="H21" s="1207"/>
      <c r="I21" s="1207"/>
      <c r="J21" s="1209"/>
      <c r="K21" s="1209"/>
      <c r="L21" s="1209"/>
      <c r="M21" s="1209"/>
      <c r="N21" s="1209"/>
      <c r="O21" s="1209"/>
      <c r="P21" s="1209"/>
      <c r="Q21" s="1209"/>
      <c r="R21" s="1209"/>
      <c r="S21" s="1210"/>
      <c r="T21" s="331"/>
      <c r="U21" s="305" t="s">
        <v>339</v>
      </c>
      <c r="V21" s="305" t="s">
        <v>339</v>
      </c>
      <c r="W21" s="305" t="s">
        <v>339</v>
      </c>
      <c r="X21" s="305" t="s">
        <v>339</v>
      </c>
      <c r="Y21" s="332" t="s">
        <v>375</v>
      </c>
      <c r="Z21" s="332" t="s">
        <v>375</v>
      </c>
      <c r="AA21" s="332" t="s">
        <v>375</v>
      </c>
      <c r="AB21" s="332" t="s">
        <v>375</v>
      </c>
      <c r="AC21" s="333" t="s">
        <v>376</v>
      </c>
      <c r="AD21" s="333" t="s">
        <v>376</v>
      </c>
      <c r="AE21" s="333" t="s">
        <v>376</v>
      </c>
      <c r="AF21" s="333" t="s">
        <v>376</v>
      </c>
      <c r="AG21" s="305" t="s">
        <v>339</v>
      </c>
      <c r="AH21" s="332" t="s">
        <v>375</v>
      </c>
      <c r="AI21" s="333" t="s">
        <v>376</v>
      </c>
      <c r="AJ21" s="305" t="s">
        <v>339</v>
      </c>
      <c r="AK21" s="332" t="s">
        <v>375</v>
      </c>
      <c r="AL21" s="333" t="s">
        <v>376</v>
      </c>
      <c r="AM21" s="305"/>
      <c r="AN21" s="332"/>
      <c r="AO21" s="779"/>
      <c r="AP21" s="305" t="s">
        <v>339</v>
      </c>
      <c r="AQ21" s="332" t="s">
        <v>375</v>
      </c>
      <c r="AR21" s="779" t="s">
        <v>376</v>
      </c>
      <c r="AS21" s="604" t="s">
        <v>29</v>
      </c>
      <c r="AT21" s="908">
        <f>'B2_Allgemeine Angaben'!L47</f>
        <v>0</v>
      </c>
      <c r="AU21" s="907"/>
      <c r="AV21" s="907"/>
      <c r="AW21" s="779"/>
      <c r="AX21" s="779"/>
      <c r="AY21" s="779"/>
      <c r="AZ21" s="779"/>
      <c r="BA21" s="779"/>
      <c r="BD21" s="334" t="s">
        <v>354</v>
      </c>
      <c r="BF21" s="438"/>
      <c r="BG21" s="1799"/>
    </row>
    <row r="22" spans="1:59" x14ac:dyDescent="0.2">
      <c r="A22" s="335"/>
      <c r="B22" s="336"/>
      <c r="C22" s="337"/>
      <c r="D22" s="336"/>
      <c r="E22" s="336"/>
      <c r="F22" s="338"/>
      <c r="G22" s="1211">
        <f>IFERROR(F22*C22,"")</f>
        <v>0</v>
      </c>
      <c r="H22" s="339"/>
      <c r="I22" s="339"/>
      <c r="J22" s="339"/>
      <c r="K22" s="339"/>
      <c r="L22" s="339"/>
      <c r="M22" s="339"/>
      <c r="N22" s="339"/>
      <c r="O22" s="339"/>
      <c r="P22" s="339"/>
      <c r="Q22" s="340"/>
      <c r="R22" s="1419">
        <f t="shared" ref="R22:R53" si="0">IFERROR(IF(A22&lt;&gt;"GfB",(SUM(G22:J22,L22,P22)*12+(N22+O22))*(100+$J$12+$J$13)%+((K22+M22+Q22)*12),(SUM(G22:J22,L22,P22)*12+(N22+O22))*(100+$J$15+$J$13)%+((K22+M22+Q22)*12)),0)</f>
        <v>0</v>
      </c>
      <c r="S22" s="1213">
        <f t="shared" ref="S22:S53" si="1">IF(ISERROR(R22/C22),0,(R22/C22))</f>
        <v>0</v>
      </c>
      <c r="T22" s="341"/>
      <c r="U22" s="381">
        <f>(IF(AND($B22="PFK/BFK",$C22&gt;0,$F22&gt;0),($G22+$H22),0))</f>
        <v>0</v>
      </c>
      <c r="V22" s="342">
        <f>(IF(AND($B22="PFK/BFK",$C22&gt;0,$F22&gt;0),$I22,0))</f>
        <v>0</v>
      </c>
      <c r="W22" s="342">
        <f>(IF(AND($B22="PFK/BFK",$C22&gt;0,$F22&gt;0),($J22+$K22),0))</f>
        <v>0</v>
      </c>
      <c r="X22" s="342">
        <f>(IF(AND($B22="PFK/BFK",$C22&gt;0,$F22&gt;0),(($N22+$O22)/12),0))</f>
        <v>0</v>
      </c>
      <c r="Y22" s="382">
        <f>(IF(AND($B22="PK/BK",$C22&gt;0,$F22&gt;0),($G22+$H22),0))</f>
        <v>0</v>
      </c>
      <c r="Z22" s="343">
        <f>(IF(AND($B22="PK/BK",$C22&gt;0,$F22&gt;0),$I22,0))</f>
        <v>0</v>
      </c>
      <c r="AA22" s="343">
        <f>(IF(AND($B22="PK/BK",$C22&gt;0,$F22&gt;0),($J22+$K22),0))</f>
        <v>0</v>
      </c>
      <c r="AB22" s="343">
        <f>(IF(AND($B22="PK/BK",$C22&gt;0,$F22&gt;0),(($N22+$O22)/12),0))</f>
        <v>0</v>
      </c>
      <c r="AC22" s="383">
        <f>(IF(AND($B22="PK/BK o.",$C22&gt;0,$F22&gt;0),($G22+$H22),0))</f>
        <v>0</v>
      </c>
      <c r="AD22" s="344">
        <f>(IF(AND($B22="PK/BK o.",$C22&gt;0,$F22&gt;0),$I22,0))</f>
        <v>0</v>
      </c>
      <c r="AE22" s="344">
        <f>(IF(AND($B22="PK/BK o.",$C22&gt;0,$F22&gt;0),($J22+$K22),0))</f>
        <v>0</v>
      </c>
      <c r="AF22" s="344">
        <f>(IF(AND($B22="PK/BK o.",$C22&gt;0,$F22&gt;0),(($N22+$O22)/12),0))</f>
        <v>0</v>
      </c>
      <c r="AG22" s="345">
        <f>IF(AND($B22="PFK/BFK",$C22&gt;0,$F22&gt;0),$C22,0)</f>
        <v>0</v>
      </c>
      <c r="AH22" s="345">
        <f>IF(AND($B22="PK/BK",$C22&gt;0,$F22&gt;0),$C22,0)</f>
        <v>0</v>
      </c>
      <c r="AI22" s="345">
        <f>IF(AND($B22="PK/BK o.",$C22&gt;0,$F22&gt;0),$C22,0)</f>
        <v>0</v>
      </c>
      <c r="AJ22" s="306">
        <f t="shared" ref="AJ22:AJ53" si="2">IF(AND($B22="PFK/BFK",$C22&gt;0,$F22&gt;0),$R22,0)</f>
        <v>0</v>
      </c>
      <c r="AK22" s="306">
        <f t="shared" ref="AK22:AK53" si="3">IF(AND($B22="PK/BK",$C22&gt;0,$F22&gt;0),$R22,0)</f>
        <v>0</v>
      </c>
      <c r="AL22" s="306">
        <f t="shared" ref="AL22:AL53" si="4">IF(AND($B22="PK/BK o.",$C22&gt;0,$F22&gt;0),$R22,0)</f>
        <v>0</v>
      </c>
      <c r="AM22" s="749"/>
      <c r="AN22" s="763"/>
      <c r="AO22" s="780"/>
      <c r="AP22" s="898">
        <f>IF(AND($B22&lt;&gt;"",$F22&gt;0,$C22&gt;0),$C22,0)</f>
        <v>0</v>
      </c>
      <c r="AQ22" s="896"/>
      <c r="AR22" s="896"/>
      <c r="AS22" s="902" t="s">
        <v>1111</v>
      </c>
      <c r="AT22" s="902" t="s">
        <v>1112</v>
      </c>
      <c r="AU22" s="902" t="s">
        <v>310</v>
      </c>
      <c r="AV22" s="902" t="s">
        <v>1114</v>
      </c>
      <c r="AW22" s="780"/>
      <c r="AX22" s="780"/>
      <c r="AY22" s="780"/>
      <c r="AZ22" s="780"/>
      <c r="BA22" s="780"/>
      <c r="BD22" s="334" t="s">
        <v>377</v>
      </c>
      <c r="BF22" s="439"/>
    </row>
    <row r="23" spans="1:59" x14ac:dyDescent="0.2">
      <c r="A23" s="421"/>
      <c r="B23" s="347"/>
      <c r="C23" s="348"/>
      <c r="D23" s="349"/>
      <c r="E23" s="349"/>
      <c r="F23" s="350"/>
      <c r="G23" s="1211">
        <f t="shared" ref="G23:G86" si="5">IFERROR(F23*C23,"")</f>
        <v>0</v>
      </c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1212">
        <f t="shared" si="0"/>
        <v>0</v>
      </c>
      <c r="S23" s="1213">
        <f t="shared" si="1"/>
        <v>0</v>
      </c>
      <c r="T23" s="341"/>
      <c r="U23" s="381">
        <f t="shared" ref="U23:U86" si="6">(IF(AND($B23="PFK/BFK",$C23&gt;0,$F23&gt;0),($G23+$H23),0))</f>
        <v>0</v>
      </c>
      <c r="V23" s="342">
        <f t="shared" ref="V23:V86" si="7">(IF(AND($B23="PFK/BFK",$C23&gt;0,$F23&gt;0),$I23,0))</f>
        <v>0</v>
      </c>
      <c r="W23" s="342">
        <f t="shared" ref="W23:W86" si="8">(IF(AND($B23="PFK/BFK",$C23&gt;0,$F23&gt;0),($J23+$K23),0))</f>
        <v>0</v>
      </c>
      <c r="X23" s="342">
        <f t="shared" ref="X23:X86" si="9">(IF(AND($B23="PFK/BFK",$C23&gt;0,$F23&gt;0),(($N23+$O23)/12),0))</f>
        <v>0</v>
      </c>
      <c r="Y23" s="382">
        <f t="shared" ref="Y23:Y86" si="10">(IF(AND($B23="PK/BK",$C23&gt;0,$F23&gt;0),($G23+$H23),0))</f>
        <v>0</v>
      </c>
      <c r="Z23" s="343">
        <f t="shared" ref="Z23:Z86" si="11">(IF(AND($B23="PK/BK",$C23&gt;0,$F23&gt;0),$I23,0))</f>
        <v>0</v>
      </c>
      <c r="AA23" s="343">
        <f t="shared" ref="AA23:AA86" si="12">(IF(AND($B23="PK/BK",$C23&gt;0,$F23&gt;0),($J23+$K23),0))</f>
        <v>0</v>
      </c>
      <c r="AB23" s="343">
        <f t="shared" ref="AB23:AB86" si="13">(IF(AND($B23="PK/BK",$C23&gt;0,$F23&gt;0),(($N23+$O23)/12),0))</f>
        <v>0</v>
      </c>
      <c r="AC23" s="383">
        <f t="shared" ref="AC23:AC86" si="14">(IF(AND($B23="PK/BK o.",$C23&gt;0,$F23&gt;0),($G23+$H23),0))</f>
        <v>0</v>
      </c>
      <c r="AD23" s="344">
        <f t="shared" ref="AD23:AD86" si="15">(IF(AND($B23="PK/BK o.",$C23&gt;0,$F23&gt;0),$I23,0))</f>
        <v>0</v>
      </c>
      <c r="AE23" s="344">
        <f t="shared" ref="AE23:AE86" si="16">(IF(AND($B23="PK/BK o.",$C23&gt;0,$F23&gt;0),($J23+$K23),0))</f>
        <v>0</v>
      </c>
      <c r="AF23" s="344">
        <f t="shared" ref="AF23:AF86" si="17">(IF(AND($B23="PK/BK o.",$C23&gt;0,$F23&gt;0),(($N23+$O23)/12),0))</f>
        <v>0</v>
      </c>
      <c r="AG23" s="345">
        <f t="shared" ref="AG23:AG86" si="18">IF(AND($B23="PFK/BFK",$C23&gt;0,$F23&gt;0),$C23,0)</f>
        <v>0</v>
      </c>
      <c r="AH23" s="345">
        <f t="shared" ref="AH23:AH86" si="19">IF(AND($B23="PK/BK",$C23&gt;0,$F23&gt;0),$C23,0)</f>
        <v>0</v>
      </c>
      <c r="AI23" s="345">
        <f t="shared" ref="AI23:AI86" si="20">IF(AND($B23="PK/BK o.",$C23&gt;0,$F23&gt;0),$C23,0)</f>
        <v>0</v>
      </c>
      <c r="AJ23" s="306">
        <f t="shared" si="2"/>
        <v>0</v>
      </c>
      <c r="AK23" s="306">
        <f t="shared" si="3"/>
        <v>0</v>
      </c>
      <c r="AL23" s="306">
        <f t="shared" si="4"/>
        <v>0</v>
      </c>
      <c r="AM23" s="749"/>
      <c r="AN23" s="763"/>
      <c r="AO23" s="780"/>
      <c r="AP23" s="898">
        <f t="shared" ref="AP23:AP86" si="21">IF(AND($B23&lt;&gt;"",$F23&gt;0,$C23&gt;0),$C23,0)</f>
        <v>0</v>
      </c>
      <c r="AQ23" s="896"/>
      <c r="AR23" s="896"/>
      <c r="AS23" s="903">
        <v>1</v>
      </c>
      <c r="AT23" s="903">
        <v>40</v>
      </c>
      <c r="AU23" s="903">
        <v>0.75</v>
      </c>
      <c r="AV23" s="901">
        <f>IF(AT21&lt;AS24,AU23,IF(AT21&lt;AS25,AU24,IF(AT21&lt;AS26,AU25,AU26)))</f>
        <v>0.75</v>
      </c>
      <c r="AW23" s="780"/>
      <c r="AX23" s="780"/>
      <c r="AY23" s="780"/>
      <c r="AZ23" s="780"/>
      <c r="BA23" s="780"/>
      <c r="BD23" s="334"/>
      <c r="BF23" s="433"/>
    </row>
    <row r="24" spans="1:59" x14ac:dyDescent="0.2">
      <c r="A24" s="421"/>
      <c r="B24" s="347"/>
      <c r="C24" s="348"/>
      <c r="D24" s="349"/>
      <c r="E24" s="349"/>
      <c r="F24" s="350"/>
      <c r="G24" s="1211">
        <f t="shared" si="5"/>
        <v>0</v>
      </c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1212">
        <f t="shared" si="0"/>
        <v>0</v>
      </c>
      <c r="S24" s="1213">
        <f t="shared" si="1"/>
        <v>0</v>
      </c>
      <c r="T24" s="341"/>
      <c r="U24" s="381">
        <f t="shared" si="6"/>
        <v>0</v>
      </c>
      <c r="V24" s="342">
        <f t="shared" si="7"/>
        <v>0</v>
      </c>
      <c r="W24" s="342">
        <f t="shared" si="8"/>
        <v>0</v>
      </c>
      <c r="X24" s="342">
        <f t="shared" si="9"/>
        <v>0</v>
      </c>
      <c r="Y24" s="382">
        <f t="shared" si="10"/>
        <v>0</v>
      </c>
      <c r="Z24" s="343">
        <f t="shared" si="11"/>
        <v>0</v>
      </c>
      <c r="AA24" s="343">
        <f t="shared" si="12"/>
        <v>0</v>
      </c>
      <c r="AB24" s="343">
        <f t="shared" si="13"/>
        <v>0</v>
      </c>
      <c r="AC24" s="383">
        <f t="shared" si="14"/>
        <v>0</v>
      </c>
      <c r="AD24" s="344">
        <f t="shared" si="15"/>
        <v>0</v>
      </c>
      <c r="AE24" s="344">
        <f t="shared" si="16"/>
        <v>0</v>
      </c>
      <c r="AF24" s="344">
        <f t="shared" si="17"/>
        <v>0</v>
      </c>
      <c r="AG24" s="345">
        <f t="shared" si="18"/>
        <v>0</v>
      </c>
      <c r="AH24" s="345">
        <f t="shared" si="19"/>
        <v>0</v>
      </c>
      <c r="AI24" s="345">
        <f t="shared" si="20"/>
        <v>0</v>
      </c>
      <c r="AJ24" s="306">
        <f t="shared" si="2"/>
        <v>0</v>
      </c>
      <c r="AK24" s="306">
        <f t="shared" si="3"/>
        <v>0</v>
      </c>
      <c r="AL24" s="306">
        <f t="shared" si="4"/>
        <v>0</v>
      </c>
      <c r="AM24" s="749"/>
      <c r="AN24" s="763"/>
      <c r="AO24" s="780"/>
      <c r="AP24" s="898">
        <f t="shared" si="21"/>
        <v>0</v>
      </c>
      <c r="AQ24" s="896"/>
      <c r="AR24" s="896"/>
      <c r="AS24" s="903">
        <v>41</v>
      </c>
      <c r="AT24" s="903">
        <v>80</v>
      </c>
      <c r="AU24" s="904">
        <v>1</v>
      </c>
      <c r="AV24" s="901"/>
      <c r="AW24" s="780"/>
      <c r="AX24" s="780"/>
      <c r="AY24" s="780"/>
      <c r="AZ24" s="780"/>
      <c r="BA24" s="780"/>
      <c r="BD24" s="334"/>
    </row>
    <row r="25" spans="1:59" x14ac:dyDescent="0.2">
      <c r="A25" s="346"/>
      <c r="B25" s="347"/>
      <c r="C25" s="348"/>
      <c r="D25" s="349"/>
      <c r="E25" s="349"/>
      <c r="F25" s="350"/>
      <c r="G25" s="1211">
        <f t="shared" si="5"/>
        <v>0</v>
      </c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1212">
        <f t="shared" si="0"/>
        <v>0</v>
      </c>
      <c r="S25" s="1213">
        <f t="shared" si="1"/>
        <v>0</v>
      </c>
      <c r="T25" s="341"/>
      <c r="U25" s="381">
        <f t="shared" si="6"/>
        <v>0</v>
      </c>
      <c r="V25" s="342">
        <f t="shared" si="7"/>
        <v>0</v>
      </c>
      <c r="W25" s="342">
        <f t="shared" si="8"/>
        <v>0</v>
      </c>
      <c r="X25" s="342">
        <f t="shared" si="9"/>
        <v>0</v>
      </c>
      <c r="Y25" s="382">
        <f t="shared" si="10"/>
        <v>0</v>
      </c>
      <c r="Z25" s="343">
        <f t="shared" si="11"/>
        <v>0</v>
      </c>
      <c r="AA25" s="343">
        <f t="shared" si="12"/>
        <v>0</v>
      </c>
      <c r="AB25" s="343">
        <f t="shared" si="13"/>
        <v>0</v>
      </c>
      <c r="AC25" s="383">
        <f t="shared" si="14"/>
        <v>0</v>
      </c>
      <c r="AD25" s="344">
        <f t="shared" si="15"/>
        <v>0</v>
      </c>
      <c r="AE25" s="344">
        <f t="shared" si="16"/>
        <v>0</v>
      </c>
      <c r="AF25" s="344">
        <f t="shared" si="17"/>
        <v>0</v>
      </c>
      <c r="AG25" s="345">
        <f t="shared" si="18"/>
        <v>0</v>
      </c>
      <c r="AH25" s="345">
        <f t="shared" si="19"/>
        <v>0</v>
      </c>
      <c r="AI25" s="345">
        <f t="shared" si="20"/>
        <v>0</v>
      </c>
      <c r="AJ25" s="306">
        <f t="shared" si="2"/>
        <v>0</v>
      </c>
      <c r="AK25" s="306">
        <f t="shared" si="3"/>
        <v>0</v>
      </c>
      <c r="AL25" s="306">
        <f t="shared" si="4"/>
        <v>0</v>
      </c>
      <c r="AM25" s="749"/>
      <c r="AN25" s="763"/>
      <c r="AO25" s="780"/>
      <c r="AP25" s="898">
        <f t="shared" si="21"/>
        <v>0</v>
      </c>
      <c r="AQ25" s="896"/>
      <c r="AR25" s="896"/>
      <c r="AS25" s="903">
        <v>81</v>
      </c>
      <c r="AT25" s="903">
        <v>150</v>
      </c>
      <c r="AU25" s="904">
        <v>1.25</v>
      </c>
      <c r="AV25" s="905"/>
      <c r="AW25" s="780"/>
      <c r="AX25" s="780"/>
      <c r="AY25" s="780"/>
      <c r="AZ25" s="780"/>
      <c r="BA25" s="780"/>
      <c r="BD25" s="334"/>
      <c r="BF25" s="433"/>
    </row>
    <row r="26" spans="1:59" x14ac:dyDescent="0.2">
      <c r="A26" s="346"/>
      <c r="B26" s="347"/>
      <c r="C26" s="348"/>
      <c r="D26" s="349"/>
      <c r="E26" s="349"/>
      <c r="F26" s="350"/>
      <c r="G26" s="1211">
        <f t="shared" si="5"/>
        <v>0</v>
      </c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1212">
        <f t="shared" si="0"/>
        <v>0</v>
      </c>
      <c r="S26" s="1213">
        <f t="shared" si="1"/>
        <v>0</v>
      </c>
      <c r="T26" s="341"/>
      <c r="U26" s="381">
        <f t="shared" si="6"/>
        <v>0</v>
      </c>
      <c r="V26" s="342">
        <f t="shared" si="7"/>
        <v>0</v>
      </c>
      <c r="W26" s="342">
        <f t="shared" si="8"/>
        <v>0</v>
      </c>
      <c r="X26" s="342">
        <f t="shared" si="9"/>
        <v>0</v>
      </c>
      <c r="Y26" s="382">
        <f t="shared" si="10"/>
        <v>0</v>
      </c>
      <c r="Z26" s="343">
        <f t="shared" si="11"/>
        <v>0</v>
      </c>
      <c r="AA26" s="343">
        <f t="shared" si="12"/>
        <v>0</v>
      </c>
      <c r="AB26" s="343">
        <f t="shared" si="13"/>
        <v>0</v>
      </c>
      <c r="AC26" s="383">
        <f t="shared" si="14"/>
        <v>0</v>
      </c>
      <c r="AD26" s="344">
        <f t="shared" si="15"/>
        <v>0</v>
      </c>
      <c r="AE26" s="344">
        <f t="shared" si="16"/>
        <v>0</v>
      </c>
      <c r="AF26" s="344">
        <f t="shared" si="17"/>
        <v>0</v>
      </c>
      <c r="AG26" s="345">
        <f t="shared" si="18"/>
        <v>0</v>
      </c>
      <c r="AH26" s="345">
        <f t="shared" si="19"/>
        <v>0</v>
      </c>
      <c r="AI26" s="345">
        <f t="shared" si="20"/>
        <v>0</v>
      </c>
      <c r="AJ26" s="306">
        <f t="shared" si="2"/>
        <v>0</v>
      </c>
      <c r="AK26" s="306">
        <f t="shared" si="3"/>
        <v>0</v>
      </c>
      <c r="AL26" s="306">
        <f t="shared" si="4"/>
        <v>0</v>
      </c>
      <c r="AM26" s="749"/>
      <c r="AN26" s="763"/>
      <c r="AO26" s="780"/>
      <c r="AP26" s="898">
        <f t="shared" si="21"/>
        <v>0</v>
      </c>
      <c r="AQ26" s="896"/>
      <c r="AR26" s="896"/>
      <c r="AS26" s="903">
        <v>151</v>
      </c>
      <c r="AT26" s="903" t="s">
        <v>1113</v>
      </c>
      <c r="AU26" s="904">
        <v>2</v>
      </c>
      <c r="AV26" s="906"/>
      <c r="AW26" s="780"/>
      <c r="AX26" s="780"/>
      <c r="AY26" s="780"/>
      <c r="AZ26" s="780"/>
      <c r="BA26" s="780"/>
      <c r="BD26" s="334"/>
      <c r="BF26" s="433"/>
    </row>
    <row r="27" spans="1:59" x14ac:dyDescent="0.2">
      <c r="A27" s="346"/>
      <c r="B27" s="347"/>
      <c r="C27" s="348"/>
      <c r="D27" s="349"/>
      <c r="E27" s="349"/>
      <c r="F27" s="350"/>
      <c r="G27" s="1211">
        <f t="shared" si="5"/>
        <v>0</v>
      </c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1212">
        <f t="shared" si="0"/>
        <v>0</v>
      </c>
      <c r="S27" s="1213">
        <f t="shared" si="1"/>
        <v>0</v>
      </c>
      <c r="T27" s="341"/>
      <c r="U27" s="381">
        <f t="shared" si="6"/>
        <v>0</v>
      </c>
      <c r="V27" s="342">
        <f t="shared" si="7"/>
        <v>0</v>
      </c>
      <c r="W27" s="342">
        <f t="shared" si="8"/>
        <v>0</v>
      </c>
      <c r="X27" s="342">
        <f t="shared" si="9"/>
        <v>0</v>
      </c>
      <c r="Y27" s="382">
        <f t="shared" si="10"/>
        <v>0</v>
      </c>
      <c r="Z27" s="343">
        <f t="shared" si="11"/>
        <v>0</v>
      </c>
      <c r="AA27" s="343">
        <f t="shared" si="12"/>
        <v>0</v>
      </c>
      <c r="AB27" s="343">
        <f t="shared" si="13"/>
        <v>0</v>
      </c>
      <c r="AC27" s="383">
        <f t="shared" si="14"/>
        <v>0</v>
      </c>
      <c r="AD27" s="344">
        <f t="shared" si="15"/>
        <v>0</v>
      </c>
      <c r="AE27" s="344">
        <f t="shared" si="16"/>
        <v>0</v>
      </c>
      <c r="AF27" s="344">
        <f t="shared" si="17"/>
        <v>0</v>
      </c>
      <c r="AG27" s="345">
        <f t="shared" si="18"/>
        <v>0</v>
      </c>
      <c r="AH27" s="345">
        <f t="shared" si="19"/>
        <v>0</v>
      </c>
      <c r="AI27" s="345">
        <f t="shared" si="20"/>
        <v>0</v>
      </c>
      <c r="AJ27" s="306">
        <f t="shared" si="2"/>
        <v>0</v>
      </c>
      <c r="AK27" s="306">
        <f t="shared" si="3"/>
        <v>0</v>
      </c>
      <c r="AL27" s="306">
        <f t="shared" si="4"/>
        <v>0</v>
      </c>
      <c r="AM27" s="749"/>
      <c r="AN27" s="763"/>
      <c r="AO27" s="780"/>
      <c r="AP27" s="898">
        <f t="shared" si="21"/>
        <v>0</v>
      </c>
      <c r="AQ27" s="896"/>
      <c r="AR27" s="896"/>
      <c r="AS27" s="780"/>
      <c r="AT27" s="780"/>
      <c r="AU27" s="780"/>
      <c r="AV27" s="780"/>
      <c r="AW27" s="780"/>
      <c r="AX27" s="780"/>
      <c r="AY27" s="780"/>
      <c r="AZ27" s="780"/>
      <c r="BA27" s="780"/>
      <c r="BD27" s="334"/>
      <c r="BF27" s="433"/>
    </row>
    <row r="28" spans="1:59" x14ac:dyDescent="0.2">
      <c r="A28" s="346"/>
      <c r="B28" s="347"/>
      <c r="C28" s="348"/>
      <c r="D28" s="349"/>
      <c r="E28" s="349"/>
      <c r="F28" s="350"/>
      <c r="G28" s="1211">
        <f t="shared" si="5"/>
        <v>0</v>
      </c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1212">
        <f t="shared" si="0"/>
        <v>0</v>
      </c>
      <c r="S28" s="1213">
        <f t="shared" si="1"/>
        <v>0</v>
      </c>
      <c r="T28" s="341"/>
      <c r="U28" s="381">
        <f t="shared" si="6"/>
        <v>0</v>
      </c>
      <c r="V28" s="342">
        <f t="shared" si="7"/>
        <v>0</v>
      </c>
      <c r="W28" s="342">
        <f t="shared" si="8"/>
        <v>0</v>
      </c>
      <c r="X28" s="342">
        <f t="shared" si="9"/>
        <v>0</v>
      </c>
      <c r="Y28" s="382">
        <f t="shared" si="10"/>
        <v>0</v>
      </c>
      <c r="Z28" s="343">
        <f t="shared" si="11"/>
        <v>0</v>
      </c>
      <c r="AA28" s="343">
        <f t="shared" si="12"/>
        <v>0</v>
      </c>
      <c r="AB28" s="343">
        <f t="shared" si="13"/>
        <v>0</v>
      </c>
      <c r="AC28" s="383">
        <f t="shared" si="14"/>
        <v>0</v>
      </c>
      <c r="AD28" s="344">
        <f t="shared" si="15"/>
        <v>0</v>
      </c>
      <c r="AE28" s="344">
        <f t="shared" si="16"/>
        <v>0</v>
      </c>
      <c r="AF28" s="344">
        <f t="shared" si="17"/>
        <v>0</v>
      </c>
      <c r="AG28" s="345">
        <f t="shared" si="18"/>
        <v>0</v>
      </c>
      <c r="AH28" s="345">
        <f t="shared" si="19"/>
        <v>0</v>
      </c>
      <c r="AI28" s="345">
        <f t="shared" si="20"/>
        <v>0</v>
      </c>
      <c r="AJ28" s="306">
        <f t="shared" si="2"/>
        <v>0</v>
      </c>
      <c r="AK28" s="306">
        <f t="shared" si="3"/>
        <v>0</v>
      </c>
      <c r="AL28" s="306">
        <f t="shared" si="4"/>
        <v>0</v>
      </c>
      <c r="AM28" s="749"/>
      <c r="AN28" s="763"/>
      <c r="AO28" s="780"/>
      <c r="AP28" s="898">
        <f t="shared" si="21"/>
        <v>0</v>
      </c>
      <c r="AQ28" s="896"/>
      <c r="AR28" s="896"/>
      <c r="AS28" s="1709" t="s">
        <v>1122</v>
      </c>
      <c r="AT28" s="1709"/>
      <c r="AU28" s="1709"/>
      <c r="AV28" s="1709"/>
      <c r="AW28" s="1709"/>
      <c r="AX28" s="1709"/>
      <c r="AY28" s="1709"/>
      <c r="AZ28" s="1709"/>
      <c r="BA28" s="1709"/>
      <c r="BD28" s="334"/>
    </row>
    <row r="29" spans="1:59" ht="12.75" customHeight="1" x14ac:dyDescent="0.2">
      <c r="A29" s="346"/>
      <c r="B29" s="347"/>
      <c r="C29" s="348"/>
      <c r="D29" s="349"/>
      <c r="E29" s="349"/>
      <c r="F29" s="350"/>
      <c r="G29" s="1211">
        <f t="shared" si="5"/>
        <v>0</v>
      </c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1212">
        <f t="shared" si="0"/>
        <v>0</v>
      </c>
      <c r="S29" s="1213">
        <f t="shared" si="1"/>
        <v>0</v>
      </c>
      <c r="T29" s="341"/>
      <c r="U29" s="381">
        <f t="shared" si="6"/>
        <v>0</v>
      </c>
      <c r="V29" s="342">
        <f t="shared" si="7"/>
        <v>0</v>
      </c>
      <c r="W29" s="342">
        <f t="shared" si="8"/>
        <v>0</v>
      </c>
      <c r="X29" s="342">
        <f t="shared" si="9"/>
        <v>0</v>
      </c>
      <c r="Y29" s="382">
        <f t="shared" si="10"/>
        <v>0</v>
      </c>
      <c r="Z29" s="343">
        <f t="shared" si="11"/>
        <v>0</v>
      </c>
      <c r="AA29" s="343">
        <f t="shared" si="12"/>
        <v>0</v>
      </c>
      <c r="AB29" s="343">
        <f t="shared" si="13"/>
        <v>0</v>
      </c>
      <c r="AC29" s="383">
        <f t="shared" si="14"/>
        <v>0</v>
      </c>
      <c r="AD29" s="344">
        <f t="shared" si="15"/>
        <v>0</v>
      </c>
      <c r="AE29" s="344">
        <f t="shared" si="16"/>
        <v>0</v>
      </c>
      <c r="AF29" s="344">
        <f t="shared" si="17"/>
        <v>0</v>
      </c>
      <c r="AG29" s="345">
        <f t="shared" si="18"/>
        <v>0</v>
      </c>
      <c r="AH29" s="345">
        <f t="shared" si="19"/>
        <v>0</v>
      </c>
      <c r="AI29" s="345">
        <f t="shared" si="20"/>
        <v>0</v>
      </c>
      <c r="AJ29" s="306">
        <f t="shared" si="2"/>
        <v>0</v>
      </c>
      <c r="AK29" s="306">
        <f t="shared" si="3"/>
        <v>0</v>
      </c>
      <c r="AL29" s="306">
        <f t="shared" si="4"/>
        <v>0</v>
      </c>
      <c r="AM29" s="749"/>
      <c r="AN29" s="763"/>
      <c r="AO29" s="780"/>
      <c r="AP29" s="898">
        <f t="shared" si="21"/>
        <v>0</v>
      </c>
      <c r="AQ29" s="896"/>
      <c r="AR29" s="896"/>
      <c r="AS29" s="916"/>
      <c r="AT29" s="916" t="s">
        <v>1115</v>
      </c>
      <c r="AU29" s="917" t="s">
        <v>1120</v>
      </c>
      <c r="AV29" s="917" t="s">
        <v>1116</v>
      </c>
      <c r="AW29" s="917" t="s">
        <v>1119</v>
      </c>
      <c r="AX29" s="917" t="s">
        <v>1117</v>
      </c>
      <c r="AY29" s="917" t="s">
        <v>1121</v>
      </c>
      <c r="AZ29" s="917" t="s">
        <v>1118</v>
      </c>
      <c r="BA29" s="917" t="s">
        <v>465</v>
      </c>
      <c r="BD29" s="334"/>
      <c r="BF29" s="440"/>
    </row>
    <row r="30" spans="1:59" x14ac:dyDescent="0.2">
      <c r="A30" s="346"/>
      <c r="B30" s="347"/>
      <c r="C30" s="348"/>
      <c r="D30" s="349"/>
      <c r="E30" s="349"/>
      <c r="F30" s="350"/>
      <c r="G30" s="1211">
        <f t="shared" si="5"/>
        <v>0</v>
      </c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1212">
        <f t="shared" si="0"/>
        <v>0</v>
      </c>
      <c r="S30" s="1213">
        <f t="shared" si="1"/>
        <v>0</v>
      </c>
      <c r="T30" s="341"/>
      <c r="U30" s="381">
        <f t="shared" si="6"/>
        <v>0</v>
      </c>
      <c r="V30" s="342">
        <f t="shared" si="7"/>
        <v>0</v>
      </c>
      <c r="W30" s="342">
        <f t="shared" si="8"/>
        <v>0</v>
      </c>
      <c r="X30" s="342">
        <f t="shared" si="9"/>
        <v>0</v>
      </c>
      <c r="Y30" s="382">
        <f t="shared" si="10"/>
        <v>0</v>
      </c>
      <c r="Z30" s="343">
        <f t="shared" si="11"/>
        <v>0</v>
      </c>
      <c r="AA30" s="343">
        <f t="shared" si="12"/>
        <v>0</v>
      </c>
      <c r="AB30" s="343">
        <f t="shared" si="13"/>
        <v>0</v>
      </c>
      <c r="AC30" s="383">
        <f t="shared" si="14"/>
        <v>0</v>
      </c>
      <c r="AD30" s="344">
        <f t="shared" si="15"/>
        <v>0</v>
      </c>
      <c r="AE30" s="344">
        <f t="shared" si="16"/>
        <v>0</v>
      </c>
      <c r="AF30" s="344">
        <f t="shared" si="17"/>
        <v>0</v>
      </c>
      <c r="AG30" s="345">
        <f t="shared" si="18"/>
        <v>0</v>
      </c>
      <c r="AH30" s="345">
        <f t="shared" si="19"/>
        <v>0</v>
      </c>
      <c r="AI30" s="345">
        <f t="shared" si="20"/>
        <v>0</v>
      </c>
      <c r="AJ30" s="306">
        <f t="shared" si="2"/>
        <v>0</v>
      </c>
      <c r="AK30" s="306">
        <f t="shared" si="3"/>
        <v>0</v>
      </c>
      <c r="AL30" s="306">
        <f t="shared" si="4"/>
        <v>0</v>
      </c>
      <c r="AM30" s="749"/>
      <c r="AN30" s="763"/>
      <c r="AO30" s="780"/>
      <c r="AP30" s="898">
        <f t="shared" si="21"/>
        <v>0</v>
      </c>
      <c r="AQ30" s="896"/>
      <c r="AR30" s="896"/>
      <c r="AS30" s="903" t="s">
        <v>57</v>
      </c>
      <c r="AT30" s="911">
        <f>B2_Kalkulation!H14</f>
        <v>0</v>
      </c>
      <c r="AU30" s="918">
        <v>7.6999999999999999E-2</v>
      </c>
      <c r="AV30" s="912">
        <f>$AT30*AU30</f>
        <v>0</v>
      </c>
      <c r="AW30" s="918">
        <v>5.6399999999999999E-2</v>
      </c>
      <c r="AX30" s="912">
        <f>$AT30*AW30</f>
        <v>0</v>
      </c>
      <c r="AY30" s="918">
        <v>8.72E-2</v>
      </c>
      <c r="AZ30" s="912">
        <f>$AT30*AY30</f>
        <v>0</v>
      </c>
      <c r="BA30" s="909"/>
      <c r="BD30" s="334"/>
    </row>
    <row r="31" spans="1:59" x14ac:dyDescent="0.2">
      <c r="A31" s="346"/>
      <c r="B31" s="347"/>
      <c r="C31" s="348"/>
      <c r="D31" s="349"/>
      <c r="E31" s="349"/>
      <c r="F31" s="350"/>
      <c r="G31" s="1211">
        <f t="shared" si="5"/>
        <v>0</v>
      </c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1212">
        <f t="shared" si="0"/>
        <v>0</v>
      </c>
      <c r="S31" s="1213">
        <f t="shared" si="1"/>
        <v>0</v>
      </c>
      <c r="T31" s="341"/>
      <c r="U31" s="381">
        <f t="shared" si="6"/>
        <v>0</v>
      </c>
      <c r="V31" s="342">
        <f t="shared" si="7"/>
        <v>0</v>
      </c>
      <c r="W31" s="342">
        <f t="shared" si="8"/>
        <v>0</v>
      </c>
      <c r="X31" s="342">
        <f t="shared" si="9"/>
        <v>0</v>
      </c>
      <c r="Y31" s="382">
        <f t="shared" si="10"/>
        <v>0</v>
      </c>
      <c r="Z31" s="343">
        <f t="shared" si="11"/>
        <v>0</v>
      </c>
      <c r="AA31" s="343">
        <f t="shared" si="12"/>
        <v>0</v>
      </c>
      <c r="AB31" s="343">
        <f t="shared" si="13"/>
        <v>0</v>
      </c>
      <c r="AC31" s="383">
        <f t="shared" si="14"/>
        <v>0</v>
      </c>
      <c r="AD31" s="344">
        <f t="shared" si="15"/>
        <v>0</v>
      </c>
      <c r="AE31" s="344">
        <f t="shared" si="16"/>
        <v>0</v>
      </c>
      <c r="AF31" s="344">
        <f t="shared" si="17"/>
        <v>0</v>
      </c>
      <c r="AG31" s="345">
        <f t="shared" si="18"/>
        <v>0</v>
      </c>
      <c r="AH31" s="345">
        <f t="shared" si="19"/>
        <v>0</v>
      </c>
      <c r="AI31" s="345">
        <f t="shared" si="20"/>
        <v>0</v>
      </c>
      <c r="AJ31" s="306">
        <f t="shared" si="2"/>
        <v>0</v>
      </c>
      <c r="AK31" s="306">
        <f t="shared" si="3"/>
        <v>0</v>
      </c>
      <c r="AL31" s="306">
        <f t="shared" si="4"/>
        <v>0</v>
      </c>
      <c r="AM31" s="749"/>
      <c r="AN31" s="763"/>
      <c r="AO31" s="780"/>
      <c r="AP31" s="898">
        <f t="shared" si="21"/>
        <v>0</v>
      </c>
      <c r="AQ31" s="896"/>
      <c r="AR31" s="896"/>
      <c r="AS31" s="903" t="s">
        <v>58</v>
      </c>
      <c r="AT31" s="911">
        <f>B2_Kalkulation!I14</f>
        <v>0</v>
      </c>
      <c r="AU31" s="918">
        <v>0.1037</v>
      </c>
      <c r="AV31" s="912">
        <f t="shared" ref="AV31:AX34" si="22">$AT31*AU31</f>
        <v>0</v>
      </c>
      <c r="AW31" s="918">
        <v>6.7500000000000004E-2</v>
      </c>
      <c r="AX31" s="912">
        <f t="shared" si="22"/>
        <v>0</v>
      </c>
      <c r="AY31" s="918">
        <v>0.1202</v>
      </c>
      <c r="AZ31" s="912">
        <f t="shared" ref="AZ31" si="23">$AT31*AY31</f>
        <v>0</v>
      </c>
      <c r="BA31" s="909"/>
      <c r="BD31" s="334"/>
    </row>
    <row r="32" spans="1:59" x14ac:dyDescent="0.2">
      <c r="A32" s="346"/>
      <c r="B32" s="347"/>
      <c r="C32" s="348"/>
      <c r="D32" s="349"/>
      <c r="E32" s="349"/>
      <c r="F32" s="350"/>
      <c r="G32" s="1211">
        <f t="shared" si="5"/>
        <v>0</v>
      </c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1212">
        <f t="shared" si="0"/>
        <v>0</v>
      </c>
      <c r="S32" s="1213">
        <f t="shared" si="1"/>
        <v>0</v>
      </c>
      <c r="T32" s="341"/>
      <c r="U32" s="381">
        <f t="shared" si="6"/>
        <v>0</v>
      </c>
      <c r="V32" s="342">
        <f t="shared" si="7"/>
        <v>0</v>
      </c>
      <c r="W32" s="342">
        <f t="shared" si="8"/>
        <v>0</v>
      </c>
      <c r="X32" s="342">
        <f t="shared" si="9"/>
        <v>0</v>
      </c>
      <c r="Y32" s="382">
        <f t="shared" si="10"/>
        <v>0</v>
      </c>
      <c r="Z32" s="343">
        <f t="shared" si="11"/>
        <v>0</v>
      </c>
      <c r="AA32" s="343">
        <f t="shared" si="12"/>
        <v>0</v>
      </c>
      <c r="AB32" s="343">
        <f t="shared" si="13"/>
        <v>0</v>
      </c>
      <c r="AC32" s="383">
        <f t="shared" si="14"/>
        <v>0</v>
      </c>
      <c r="AD32" s="344">
        <f t="shared" si="15"/>
        <v>0</v>
      </c>
      <c r="AE32" s="344">
        <f t="shared" si="16"/>
        <v>0</v>
      </c>
      <c r="AF32" s="344">
        <f t="shared" si="17"/>
        <v>0</v>
      </c>
      <c r="AG32" s="345">
        <f t="shared" si="18"/>
        <v>0</v>
      </c>
      <c r="AH32" s="345">
        <f t="shared" si="19"/>
        <v>0</v>
      </c>
      <c r="AI32" s="345">
        <f t="shared" si="20"/>
        <v>0</v>
      </c>
      <c r="AJ32" s="306">
        <f t="shared" si="2"/>
        <v>0</v>
      </c>
      <c r="AK32" s="306">
        <f t="shared" si="3"/>
        <v>0</v>
      </c>
      <c r="AL32" s="306">
        <f t="shared" si="4"/>
        <v>0</v>
      </c>
      <c r="AM32" s="749"/>
      <c r="AN32" s="763"/>
      <c r="AO32" s="780"/>
      <c r="AP32" s="898">
        <f t="shared" si="21"/>
        <v>0</v>
      </c>
      <c r="AQ32" s="896"/>
      <c r="AR32" s="896"/>
      <c r="AS32" s="903" t="s">
        <v>59</v>
      </c>
      <c r="AT32" s="911">
        <f>B2_Kalkulation!J14</f>
        <v>0</v>
      </c>
      <c r="AU32" s="918">
        <v>0.15509999999999999</v>
      </c>
      <c r="AV32" s="912">
        <f t="shared" si="22"/>
        <v>0</v>
      </c>
      <c r="AW32" s="918">
        <v>0.1074</v>
      </c>
      <c r="AX32" s="912">
        <f t="shared" si="22"/>
        <v>0</v>
      </c>
      <c r="AY32" s="918">
        <v>0.14480000000000001</v>
      </c>
      <c r="AZ32" s="912">
        <f t="shared" ref="AZ32" si="24">$AT32*AY32</f>
        <v>0</v>
      </c>
      <c r="BA32" s="909"/>
      <c r="BD32" s="334"/>
    </row>
    <row r="33" spans="1:56" x14ac:dyDescent="0.2">
      <c r="A33" s="346"/>
      <c r="B33" s="347"/>
      <c r="C33" s="348"/>
      <c r="D33" s="349"/>
      <c r="E33" s="349"/>
      <c r="F33" s="350"/>
      <c r="G33" s="1211">
        <f t="shared" si="5"/>
        <v>0</v>
      </c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1212">
        <f t="shared" si="0"/>
        <v>0</v>
      </c>
      <c r="S33" s="1213">
        <f t="shared" si="1"/>
        <v>0</v>
      </c>
      <c r="T33" s="341"/>
      <c r="U33" s="381">
        <f t="shared" si="6"/>
        <v>0</v>
      </c>
      <c r="V33" s="342">
        <f t="shared" si="7"/>
        <v>0</v>
      </c>
      <c r="W33" s="342">
        <f t="shared" si="8"/>
        <v>0</v>
      </c>
      <c r="X33" s="342">
        <f t="shared" si="9"/>
        <v>0</v>
      </c>
      <c r="Y33" s="382">
        <f t="shared" si="10"/>
        <v>0</v>
      </c>
      <c r="Z33" s="343">
        <f t="shared" si="11"/>
        <v>0</v>
      </c>
      <c r="AA33" s="343">
        <f t="shared" si="12"/>
        <v>0</v>
      </c>
      <c r="AB33" s="343">
        <f t="shared" si="13"/>
        <v>0</v>
      </c>
      <c r="AC33" s="383">
        <f t="shared" si="14"/>
        <v>0</v>
      </c>
      <c r="AD33" s="344">
        <f t="shared" si="15"/>
        <v>0</v>
      </c>
      <c r="AE33" s="344">
        <f t="shared" si="16"/>
        <v>0</v>
      </c>
      <c r="AF33" s="344">
        <f t="shared" si="17"/>
        <v>0</v>
      </c>
      <c r="AG33" s="345">
        <f t="shared" si="18"/>
        <v>0</v>
      </c>
      <c r="AH33" s="345">
        <f t="shared" si="19"/>
        <v>0</v>
      </c>
      <c r="AI33" s="345">
        <f t="shared" si="20"/>
        <v>0</v>
      </c>
      <c r="AJ33" s="306">
        <f t="shared" si="2"/>
        <v>0</v>
      </c>
      <c r="AK33" s="306">
        <f t="shared" si="3"/>
        <v>0</v>
      </c>
      <c r="AL33" s="306">
        <f t="shared" si="4"/>
        <v>0</v>
      </c>
      <c r="AM33" s="749"/>
      <c r="AN33" s="763"/>
      <c r="AO33" s="780"/>
      <c r="AP33" s="898">
        <f t="shared" si="21"/>
        <v>0</v>
      </c>
      <c r="AQ33" s="896"/>
      <c r="AR33" s="896"/>
      <c r="AS33" s="903" t="s">
        <v>60</v>
      </c>
      <c r="AT33" s="911">
        <f>B2_Kalkulation!K14</f>
        <v>0</v>
      </c>
      <c r="AU33" s="918">
        <v>0.24629999999999999</v>
      </c>
      <c r="AV33" s="912">
        <f t="shared" si="22"/>
        <v>0</v>
      </c>
      <c r="AW33" s="918">
        <v>0.14130000000000001</v>
      </c>
      <c r="AX33" s="912">
        <f t="shared" si="22"/>
        <v>0</v>
      </c>
      <c r="AY33" s="918">
        <v>0.16270000000000001</v>
      </c>
      <c r="AZ33" s="912">
        <f t="shared" ref="AZ33" si="25">$AT33*AY33</f>
        <v>0</v>
      </c>
      <c r="BA33" s="909"/>
      <c r="BD33" s="334"/>
    </row>
    <row r="34" spans="1:56" x14ac:dyDescent="0.2">
      <c r="A34" s="346"/>
      <c r="B34" s="347"/>
      <c r="C34" s="348"/>
      <c r="D34" s="349"/>
      <c r="E34" s="349"/>
      <c r="F34" s="350"/>
      <c r="G34" s="1211">
        <f t="shared" si="5"/>
        <v>0</v>
      </c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1212">
        <f t="shared" si="0"/>
        <v>0</v>
      </c>
      <c r="S34" s="1213">
        <f t="shared" si="1"/>
        <v>0</v>
      </c>
      <c r="T34" s="341"/>
      <c r="U34" s="381">
        <f t="shared" si="6"/>
        <v>0</v>
      </c>
      <c r="V34" s="342">
        <f t="shared" si="7"/>
        <v>0</v>
      </c>
      <c r="W34" s="342">
        <f t="shared" si="8"/>
        <v>0</v>
      </c>
      <c r="X34" s="342">
        <f t="shared" si="9"/>
        <v>0</v>
      </c>
      <c r="Y34" s="382">
        <f t="shared" si="10"/>
        <v>0</v>
      </c>
      <c r="Z34" s="343">
        <f t="shared" si="11"/>
        <v>0</v>
      </c>
      <c r="AA34" s="343">
        <f t="shared" si="12"/>
        <v>0</v>
      </c>
      <c r="AB34" s="343">
        <f t="shared" si="13"/>
        <v>0</v>
      </c>
      <c r="AC34" s="383">
        <f t="shared" si="14"/>
        <v>0</v>
      </c>
      <c r="AD34" s="344">
        <f t="shared" si="15"/>
        <v>0</v>
      </c>
      <c r="AE34" s="344">
        <f t="shared" si="16"/>
        <v>0</v>
      </c>
      <c r="AF34" s="344">
        <f t="shared" si="17"/>
        <v>0</v>
      </c>
      <c r="AG34" s="345">
        <f t="shared" si="18"/>
        <v>0</v>
      </c>
      <c r="AH34" s="345">
        <f t="shared" si="19"/>
        <v>0</v>
      </c>
      <c r="AI34" s="345">
        <f t="shared" si="20"/>
        <v>0</v>
      </c>
      <c r="AJ34" s="306">
        <f t="shared" si="2"/>
        <v>0</v>
      </c>
      <c r="AK34" s="306">
        <f t="shared" si="3"/>
        <v>0</v>
      </c>
      <c r="AL34" s="306">
        <f t="shared" si="4"/>
        <v>0</v>
      </c>
      <c r="AM34" s="749"/>
      <c r="AN34" s="763"/>
      <c r="AO34" s="780"/>
      <c r="AP34" s="898">
        <f t="shared" si="21"/>
        <v>0</v>
      </c>
      <c r="AQ34" s="896"/>
      <c r="AR34" s="896"/>
      <c r="AS34" s="903" t="s">
        <v>61</v>
      </c>
      <c r="AT34" s="911">
        <f>B2_Kalkulation!L14</f>
        <v>0</v>
      </c>
      <c r="AU34" s="918">
        <v>0.38419999999999999</v>
      </c>
      <c r="AV34" s="912">
        <f t="shared" si="22"/>
        <v>0</v>
      </c>
      <c r="AW34" s="918">
        <v>0.11020000000000001</v>
      </c>
      <c r="AX34" s="912">
        <f t="shared" si="22"/>
        <v>0</v>
      </c>
      <c r="AY34" s="918">
        <v>0.17580000000000001</v>
      </c>
      <c r="AZ34" s="912">
        <f t="shared" ref="AZ34" si="26">$AT34*AY34</f>
        <v>0</v>
      </c>
      <c r="BA34" s="909"/>
      <c r="BD34" s="334"/>
    </row>
    <row r="35" spans="1:56" ht="13.5" thickBot="1" x14ac:dyDescent="0.25">
      <c r="A35" s="346"/>
      <c r="B35" s="347"/>
      <c r="C35" s="348"/>
      <c r="D35" s="349"/>
      <c r="E35" s="349"/>
      <c r="F35" s="350"/>
      <c r="G35" s="1211">
        <f t="shared" si="5"/>
        <v>0</v>
      </c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1212">
        <f t="shared" si="0"/>
        <v>0</v>
      </c>
      <c r="S35" s="1213">
        <f t="shared" si="1"/>
        <v>0</v>
      </c>
      <c r="T35" s="341"/>
      <c r="U35" s="381">
        <f t="shared" si="6"/>
        <v>0</v>
      </c>
      <c r="V35" s="342">
        <f t="shared" si="7"/>
        <v>0</v>
      </c>
      <c r="W35" s="342">
        <f t="shared" si="8"/>
        <v>0</v>
      </c>
      <c r="X35" s="342">
        <f t="shared" si="9"/>
        <v>0</v>
      </c>
      <c r="Y35" s="382">
        <f t="shared" si="10"/>
        <v>0</v>
      </c>
      <c r="Z35" s="343">
        <f t="shared" si="11"/>
        <v>0</v>
      </c>
      <c r="AA35" s="343">
        <f t="shared" si="12"/>
        <v>0</v>
      </c>
      <c r="AB35" s="343">
        <f t="shared" si="13"/>
        <v>0</v>
      </c>
      <c r="AC35" s="383">
        <f t="shared" si="14"/>
        <v>0</v>
      </c>
      <c r="AD35" s="344">
        <f t="shared" si="15"/>
        <v>0</v>
      </c>
      <c r="AE35" s="344">
        <f t="shared" si="16"/>
        <v>0</v>
      </c>
      <c r="AF35" s="344">
        <f t="shared" si="17"/>
        <v>0</v>
      </c>
      <c r="AG35" s="345">
        <f t="shared" si="18"/>
        <v>0</v>
      </c>
      <c r="AH35" s="345">
        <f t="shared" si="19"/>
        <v>0</v>
      </c>
      <c r="AI35" s="345">
        <f t="shared" si="20"/>
        <v>0</v>
      </c>
      <c r="AJ35" s="306">
        <f t="shared" si="2"/>
        <v>0</v>
      </c>
      <c r="AK35" s="306">
        <f t="shared" si="3"/>
        <v>0</v>
      </c>
      <c r="AL35" s="306">
        <f t="shared" si="4"/>
        <v>0</v>
      </c>
      <c r="AM35" s="749"/>
      <c r="AN35" s="763"/>
      <c r="AO35" s="780"/>
      <c r="AP35" s="898">
        <f t="shared" si="21"/>
        <v>0</v>
      </c>
      <c r="AQ35" s="896"/>
      <c r="AR35" s="896"/>
      <c r="AS35" s="910" t="s">
        <v>320</v>
      </c>
      <c r="AT35" s="913"/>
      <c r="AU35" s="914" t="s">
        <v>1123</v>
      </c>
      <c r="AV35" s="915">
        <f>SUM(AV30:AV34)</f>
        <v>0</v>
      </c>
      <c r="AW35" s="914"/>
      <c r="AX35" s="915">
        <f>SUM(AX30:AX34)</f>
        <v>0</v>
      </c>
      <c r="AY35" s="914"/>
      <c r="AZ35" s="915">
        <f>SUM(AZ30:AZ34)</f>
        <v>0</v>
      </c>
      <c r="BA35" s="910">
        <f>SUM(AV35:AZ35)</f>
        <v>0</v>
      </c>
      <c r="BD35" s="334"/>
    </row>
    <row r="36" spans="1:56" ht="13.5" thickTop="1" x14ac:dyDescent="0.2">
      <c r="A36" s="346"/>
      <c r="B36" s="347"/>
      <c r="C36" s="348"/>
      <c r="D36" s="349"/>
      <c r="E36" s="349"/>
      <c r="F36" s="350"/>
      <c r="G36" s="1211">
        <f t="shared" si="5"/>
        <v>0</v>
      </c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1212">
        <f t="shared" si="0"/>
        <v>0</v>
      </c>
      <c r="S36" s="1213">
        <f t="shared" si="1"/>
        <v>0</v>
      </c>
      <c r="T36" s="341"/>
      <c r="U36" s="381">
        <f t="shared" si="6"/>
        <v>0</v>
      </c>
      <c r="V36" s="342">
        <f t="shared" si="7"/>
        <v>0</v>
      </c>
      <c r="W36" s="342">
        <f t="shared" si="8"/>
        <v>0</v>
      </c>
      <c r="X36" s="342">
        <f t="shared" si="9"/>
        <v>0</v>
      </c>
      <c r="Y36" s="382">
        <f t="shared" si="10"/>
        <v>0</v>
      </c>
      <c r="Z36" s="343">
        <f t="shared" si="11"/>
        <v>0</v>
      </c>
      <c r="AA36" s="343">
        <f t="shared" si="12"/>
        <v>0</v>
      </c>
      <c r="AB36" s="343">
        <f t="shared" si="13"/>
        <v>0</v>
      </c>
      <c r="AC36" s="383">
        <f t="shared" si="14"/>
        <v>0</v>
      </c>
      <c r="AD36" s="344">
        <f t="shared" si="15"/>
        <v>0</v>
      </c>
      <c r="AE36" s="344">
        <f t="shared" si="16"/>
        <v>0</v>
      </c>
      <c r="AF36" s="344">
        <f t="shared" si="17"/>
        <v>0</v>
      </c>
      <c r="AG36" s="345">
        <f t="shared" si="18"/>
        <v>0</v>
      </c>
      <c r="AH36" s="345">
        <f t="shared" si="19"/>
        <v>0</v>
      </c>
      <c r="AI36" s="345">
        <f t="shared" si="20"/>
        <v>0</v>
      </c>
      <c r="AJ36" s="306">
        <f t="shared" si="2"/>
        <v>0</v>
      </c>
      <c r="AK36" s="306">
        <f t="shared" si="3"/>
        <v>0</v>
      </c>
      <c r="AL36" s="306">
        <f t="shared" si="4"/>
        <v>0</v>
      </c>
      <c r="AM36" s="749"/>
      <c r="AN36" s="763"/>
      <c r="AO36" s="780"/>
      <c r="AP36" s="898">
        <f t="shared" si="21"/>
        <v>0</v>
      </c>
      <c r="AQ36" s="896"/>
      <c r="AR36" s="896"/>
      <c r="AS36" s="780"/>
      <c r="AT36" s="780"/>
      <c r="AU36" s="780"/>
      <c r="AV36" s="780"/>
      <c r="AW36" s="780"/>
      <c r="AX36" s="780"/>
      <c r="AY36" s="780"/>
      <c r="AZ36" s="780"/>
      <c r="BA36" s="780"/>
      <c r="BD36" s="334"/>
    </row>
    <row r="37" spans="1:56" x14ac:dyDescent="0.2">
      <c r="A37" s="346"/>
      <c r="B37" s="347"/>
      <c r="C37" s="348"/>
      <c r="D37" s="349"/>
      <c r="E37" s="349"/>
      <c r="F37" s="350"/>
      <c r="G37" s="1211">
        <f t="shared" si="5"/>
        <v>0</v>
      </c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1212">
        <f t="shared" si="0"/>
        <v>0</v>
      </c>
      <c r="S37" s="1213">
        <f t="shared" si="1"/>
        <v>0</v>
      </c>
      <c r="T37" s="341"/>
      <c r="U37" s="381">
        <f t="shared" si="6"/>
        <v>0</v>
      </c>
      <c r="V37" s="342">
        <f t="shared" si="7"/>
        <v>0</v>
      </c>
      <c r="W37" s="342">
        <f t="shared" si="8"/>
        <v>0</v>
      </c>
      <c r="X37" s="342">
        <f t="shared" si="9"/>
        <v>0</v>
      </c>
      <c r="Y37" s="382">
        <f t="shared" si="10"/>
        <v>0</v>
      </c>
      <c r="Z37" s="343">
        <f t="shared" si="11"/>
        <v>0</v>
      </c>
      <c r="AA37" s="343">
        <f t="shared" si="12"/>
        <v>0</v>
      </c>
      <c r="AB37" s="343">
        <f t="shared" si="13"/>
        <v>0</v>
      </c>
      <c r="AC37" s="383">
        <f t="shared" si="14"/>
        <v>0</v>
      </c>
      <c r="AD37" s="344">
        <f t="shared" si="15"/>
        <v>0</v>
      </c>
      <c r="AE37" s="344">
        <f t="shared" si="16"/>
        <v>0</v>
      </c>
      <c r="AF37" s="344">
        <f t="shared" si="17"/>
        <v>0</v>
      </c>
      <c r="AG37" s="345">
        <f t="shared" si="18"/>
        <v>0</v>
      </c>
      <c r="AH37" s="345">
        <f t="shared" si="19"/>
        <v>0</v>
      </c>
      <c r="AI37" s="345">
        <f t="shared" si="20"/>
        <v>0</v>
      </c>
      <c r="AJ37" s="306">
        <f t="shared" si="2"/>
        <v>0</v>
      </c>
      <c r="AK37" s="306">
        <f t="shared" si="3"/>
        <v>0</v>
      </c>
      <c r="AL37" s="306">
        <f t="shared" si="4"/>
        <v>0</v>
      </c>
      <c r="AM37" s="749"/>
      <c r="AN37" s="763"/>
      <c r="AO37" s="780"/>
      <c r="AP37" s="898">
        <f t="shared" si="21"/>
        <v>0</v>
      </c>
      <c r="AQ37" s="896"/>
      <c r="AR37" s="896"/>
      <c r="AS37" s="780"/>
      <c r="AT37" s="780"/>
      <c r="AU37" s="780"/>
      <c r="AV37" s="780"/>
      <c r="AW37" s="780"/>
      <c r="AX37" s="780"/>
      <c r="AY37" s="780"/>
      <c r="AZ37" s="780"/>
      <c r="BA37" s="780"/>
      <c r="BD37" s="334"/>
    </row>
    <row r="38" spans="1:56" x14ac:dyDescent="0.2">
      <c r="A38" s="346"/>
      <c r="B38" s="347"/>
      <c r="C38" s="348"/>
      <c r="D38" s="349"/>
      <c r="E38" s="349"/>
      <c r="F38" s="350"/>
      <c r="G38" s="1211">
        <f t="shared" si="5"/>
        <v>0</v>
      </c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1212">
        <f t="shared" si="0"/>
        <v>0</v>
      </c>
      <c r="S38" s="1213">
        <f t="shared" si="1"/>
        <v>0</v>
      </c>
      <c r="T38" s="341"/>
      <c r="U38" s="381">
        <f t="shared" si="6"/>
        <v>0</v>
      </c>
      <c r="V38" s="342">
        <f t="shared" si="7"/>
        <v>0</v>
      </c>
      <c r="W38" s="342">
        <f t="shared" si="8"/>
        <v>0</v>
      </c>
      <c r="X38" s="342">
        <f t="shared" si="9"/>
        <v>0</v>
      </c>
      <c r="Y38" s="382">
        <f t="shared" si="10"/>
        <v>0</v>
      </c>
      <c r="Z38" s="343">
        <f t="shared" si="11"/>
        <v>0</v>
      </c>
      <c r="AA38" s="343">
        <f t="shared" si="12"/>
        <v>0</v>
      </c>
      <c r="AB38" s="343">
        <f t="shared" si="13"/>
        <v>0</v>
      </c>
      <c r="AC38" s="383">
        <f t="shared" si="14"/>
        <v>0</v>
      </c>
      <c r="AD38" s="344">
        <f t="shared" si="15"/>
        <v>0</v>
      </c>
      <c r="AE38" s="344">
        <f t="shared" si="16"/>
        <v>0</v>
      </c>
      <c r="AF38" s="344">
        <f t="shared" si="17"/>
        <v>0</v>
      </c>
      <c r="AG38" s="345">
        <f t="shared" si="18"/>
        <v>0</v>
      </c>
      <c r="AH38" s="345">
        <f t="shared" si="19"/>
        <v>0</v>
      </c>
      <c r="AI38" s="345">
        <f t="shared" si="20"/>
        <v>0</v>
      </c>
      <c r="AJ38" s="306">
        <f t="shared" si="2"/>
        <v>0</v>
      </c>
      <c r="AK38" s="306">
        <f t="shared" si="3"/>
        <v>0</v>
      </c>
      <c r="AL38" s="306">
        <f t="shared" si="4"/>
        <v>0</v>
      </c>
      <c r="AM38" s="749"/>
      <c r="AN38" s="763"/>
      <c r="AO38" s="780"/>
      <c r="AP38" s="898">
        <f t="shared" si="21"/>
        <v>0</v>
      </c>
      <c r="AQ38" s="896"/>
      <c r="AR38" s="896"/>
      <c r="AS38" s="780"/>
      <c r="AT38" s="780"/>
      <c r="AU38" s="780"/>
      <c r="AV38" s="780"/>
      <c r="AW38" s="780"/>
      <c r="AX38" s="780"/>
      <c r="AY38" s="780"/>
      <c r="AZ38" s="780"/>
      <c r="BA38" s="780"/>
      <c r="BD38" s="334"/>
    </row>
    <row r="39" spans="1:56" x14ac:dyDescent="0.2">
      <c r="A39" s="346"/>
      <c r="B39" s="347"/>
      <c r="C39" s="348"/>
      <c r="D39" s="349"/>
      <c r="E39" s="349"/>
      <c r="F39" s="350"/>
      <c r="G39" s="1211">
        <f t="shared" si="5"/>
        <v>0</v>
      </c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1212">
        <f t="shared" si="0"/>
        <v>0</v>
      </c>
      <c r="S39" s="1213">
        <f t="shared" si="1"/>
        <v>0</v>
      </c>
      <c r="T39" s="341"/>
      <c r="U39" s="381">
        <f t="shared" si="6"/>
        <v>0</v>
      </c>
      <c r="V39" s="342">
        <f t="shared" si="7"/>
        <v>0</v>
      </c>
      <c r="W39" s="342">
        <f t="shared" si="8"/>
        <v>0</v>
      </c>
      <c r="X39" s="342">
        <f t="shared" si="9"/>
        <v>0</v>
      </c>
      <c r="Y39" s="382">
        <f t="shared" si="10"/>
        <v>0</v>
      </c>
      <c r="Z39" s="343">
        <f t="shared" si="11"/>
        <v>0</v>
      </c>
      <c r="AA39" s="343">
        <f t="shared" si="12"/>
        <v>0</v>
      </c>
      <c r="AB39" s="343">
        <f t="shared" si="13"/>
        <v>0</v>
      </c>
      <c r="AC39" s="383">
        <f t="shared" si="14"/>
        <v>0</v>
      </c>
      <c r="AD39" s="344">
        <f t="shared" si="15"/>
        <v>0</v>
      </c>
      <c r="AE39" s="344">
        <f t="shared" si="16"/>
        <v>0</v>
      </c>
      <c r="AF39" s="344">
        <f t="shared" si="17"/>
        <v>0</v>
      </c>
      <c r="AG39" s="345">
        <f t="shared" si="18"/>
        <v>0</v>
      </c>
      <c r="AH39" s="345">
        <f t="shared" si="19"/>
        <v>0</v>
      </c>
      <c r="AI39" s="345">
        <f t="shared" si="20"/>
        <v>0</v>
      </c>
      <c r="AJ39" s="306">
        <f t="shared" si="2"/>
        <v>0</v>
      </c>
      <c r="AK39" s="306">
        <f t="shared" si="3"/>
        <v>0</v>
      </c>
      <c r="AL39" s="306">
        <f t="shared" si="4"/>
        <v>0</v>
      </c>
      <c r="AM39" s="749"/>
      <c r="AN39" s="763"/>
      <c r="AO39" s="780"/>
      <c r="AP39" s="898">
        <f t="shared" si="21"/>
        <v>0</v>
      </c>
      <c r="AQ39" s="896"/>
      <c r="AR39" s="896"/>
      <c r="AS39" s="780"/>
      <c r="AT39" s="780"/>
      <c r="AU39" s="780"/>
      <c r="AV39" s="780"/>
      <c r="AW39" s="780"/>
      <c r="AX39" s="780"/>
      <c r="AY39" s="780"/>
      <c r="AZ39" s="780"/>
      <c r="BA39" s="780"/>
      <c r="BD39" s="334"/>
    </row>
    <row r="40" spans="1:56" x14ac:dyDescent="0.2">
      <c r="A40" s="346"/>
      <c r="B40" s="347"/>
      <c r="C40" s="348"/>
      <c r="D40" s="349"/>
      <c r="E40" s="349"/>
      <c r="F40" s="350"/>
      <c r="G40" s="1211">
        <f t="shared" si="5"/>
        <v>0</v>
      </c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1212">
        <f t="shared" si="0"/>
        <v>0</v>
      </c>
      <c r="S40" s="1213">
        <f t="shared" si="1"/>
        <v>0</v>
      </c>
      <c r="T40" s="341"/>
      <c r="U40" s="381">
        <f t="shared" si="6"/>
        <v>0</v>
      </c>
      <c r="V40" s="342">
        <f t="shared" si="7"/>
        <v>0</v>
      </c>
      <c r="W40" s="342">
        <f t="shared" si="8"/>
        <v>0</v>
      </c>
      <c r="X40" s="342">
        <f t="shared" si="9"/>
        <v>0</v>
      </c>
      <c r="Y40" s="382">
        <f t="shared" si="10"/>
        <v>0</v>
      </c>
      <c r="Z40" s="343">
        <f t="shared" si="11"/>
        <v>0</v>
      </c>
      <c r="AA40" s="343">
        <f t="shared" si="12"/>
        <v>0</v>
      </c>
      <c r="AB40" s="343">
        <f t="shared" si="13"/>
        <v>0</v>
      </c>
      <c r="AC40" s="383">
        <f t="shared" si="14"/>
        <v>0</v>
      </c>
      <c r="AD40" s="344">
        <f t="shared" si="15"/>
        <v>0</v>
      </c>
      <c r="AE40" s="344">
        <f t="shared" si="16"/>
        <v>0</v>
      </c>
      <c r="AF40" s="344">
        <f t="shared" si="17"/>
        <v>0</v>
      </c>
      <c r="AG40" s="345">
        <f t="shared" si="18"/>
        <v>0</v>
      </c>
      <c r="AH40" s="345">
        <f t="shared" si="19"/>
        <v>0</v>
      </c>
      <c r="AI40" s="345">
        <f t="shared" si="20"/>
        <v>0</v>
      </c>
      <c r="AJ40" s="306">
        <f t="shared" si="2"/>
        <v>0</v>
      </c>
      <c r="AK40" s="306">
        <f t="shared" si="3"/>
        <v>0</v>
      </c>
      <c r="AL40" s="306">
        <f t="shared" si="4"/>
        <v>0</v>
      </c>
      <c r="AM40" s="749"/>
      <c r="AN40" s="763"/>
      <c r="AO40" s="780"/>
      <c r="AP40" s="898">
        <f t="shared" si="21"/>
        <v>0</v>
      </c>
      <c r="AQ40" s="896"/>
      <c r="AR40" s="896"/>
      <c r="AS40" s="780"/>
      <c r="AT40" s="780"/>
      <c r="AU40" s="780"/>
      <c r="AV40" s="780"/>
      <c r="AW40" s="780"/>
      <c r="AX40" s="780"/>
      <c r="AY40" s="780"/>
      <c r="AZ40" s="780"/>
      <c r="BA40" s="780"/>
      <c r="BD40" s="334"/>
    </row>
    <row r="41" spans="1:56" x14ac:dyDescent="0.2">
      <c r="A41" s="346"/>
      <c r="B41" s="347"/>
      <c r="C41" s="348"/>
      <c r="D41" s="349"/>
      <c r="E41" s="349"/>
      <c r="F41" s="350"/>
      <c r="G41" s="1211">
        <f t="shared" si="5"/>
        <v>0</v>
      </c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1212">
        <f t="shared" si="0"/>
        <v>0</v>
      </c>
      <c r="S41" s="1213">
        <f t="shared" si="1"/>
        <v>0</v>
      </c>
      <c r="T41" s="341"/>
      <c r="U41" s="381">
        <f t="shared" si="6"/>
        <v>0</v>
      </c>
      <c r="V41" s="342">
        <f t="shared" si="7"/>
        <v>0</v>
      </c>
      <c r="W41" s="342">
        <f t="shared" si="8"/>
        <v>0</v>
      </c>
      <c r="X41" s="342">
        <f t="shared" si="9"/>
        <v>0</v>
      </c>
      <c r="Y41" s="382">
        <f t="shared" si="10"/>
        <v>0</v>
      </c>
      <c r="Z41" s="343">
        <f t="shared" si="11"/>
        <v>0</v>
      </c>
      <c r="AA41" s="343">
        <f t="shared" si="12"/>
        <v>0</v>
      </c>
      <c r="AB41" s="343">
        <f t="shared" si="13"/>
        <v>0</v>
      </c>
      <c r="AC41" s="383">
        <f t="shared" si="14"/>
        <v>0</v>
      </c>
      <c r="AD41" s="344">
        <f t="shared" si="15"/>
        <v>0</v>
      </c>
      <c r="AE41" s="344">
        <f t="shared" si="16"/>
        <v>0</v>
      </c>
      <c r="AF41" s="344">
        <f t="shared" si="17"/>
        <v>0</v>
      </c>
      <c r="AG41" s="345">
        <f t="shared" si="18"/>
        <v>0</v>
      </c>
      <c r="AH41" s="345">
        <f t="shared" si="19"/>
        <v>0</v>
      </c>
      <c r="AI41" s="345">
        <f t="shared" si="20"/>
        <v>0</v>
      </c>
      <c r="AJ41" s="306">
        <f t="shared" si="2"/>
        <v>0</v>
      </c>
      <c r="AK41" s="306">
        <f t="shared" si="3"/>
        <v>0</v>
      </c>
      <c r="AL41" s="306">
        <f t="shared" si="4"/>
        <v>0</v>
      </c>
      <c r="AM41" s="749"/>
      <c r="AN41" s="763"/>
      <c r="AO41" s="780"/>
      <c r="AP41" s="898">
        <f t="shared" si="21"/>
        <v>0</v>
      </c>
      <c r="AQ41" s="896"/>
      <c r="AR41" s="896"/>
      <c r="AS41" s="780"/>
      <c r="AT41" s="780"/>
      <c r="AU41" s="780"/>
      <c r="AV41" s="780"/>
      <c r="AW41" s="780"/>
      <c r="AX41" s="780"/>
      <c r="AY41" s="780"/>
      <c r="AZ41" s="780"/>
      <c r="BA41" s="780"/>
      <c r="BD41" s="334"/>
    </row>
    <row r="42" spans="1:56" x14ac:dyDescent="0.2">
      <c r="A42" s="346"/>
      <c r="B42" s="347"/>
      <c r="C42" s="348"/>
      <c r="D42" s="349"/>
      <c r="E42" s="349"/>
      <c r="F42" s="350"/>
      <c r="G42" s="1211">
        <f t="shared" si="5"/>
        <v>0</v>
      </c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1212">
        <f t="shared" si="0"/>
        <v>0</v>
      </c>
      <c r="S42" s="1213">
        <f t="shared" si="1"/>
        <v>0</v>
      </c>
      <c r="T42" s="341"/>
      <c r="U42" s="381">
        <f t="shared" si="6"/>
        <v>0</v>
      </c>
      <c r="V42" s="342">
        <f t="shared" si="7"/>
        <v>0</v>
      </c>
      <c r="W42" s="342">
        <f t="shared" si="8"/>
        <v>0</v>
      </c>
      <c r="X42" s="342">
        <f t="shared" si="9"/>
        <v>0</v>
      </c>
      <c r="Y42" s="382">
        <f t="shared" si="10"/>
        <v>0</v>
      </c>
      <c r="Z42" s="343">
        <f t="shared" si="11"/>
        <v>0</v>
      </c>
      <c r="AA42" s="343">
        <f t="shared" si="12"/>
        <v>0</v>
      </c>
      <c r="AB42" s="343">
        <f t="shared" si="13"/>
        <v>0</v>
      </c>
      <c r="AC42" s="383">
        <f t="shared" si="14"/>
        <v>0</v>
      </c>
      <c r="AD42" s="344">
        <f t="shared" si="15"/>
        <v>0</v>
      </c>
      <c r="AE42" s="344">
        <f t="shared" si="16"/>
        <v>0</v>
      </c>
      <c r="AF42" s="344">
        <f t="shared" si="17"/>
        <v>0</v>
      </c>
      <c r="AG42" s="345">
        <f t="shared" si="18"/>
        <v>0</v>
      </c>
      <c r="AH42" s="345">
        <f t="shared" si="19"/>
        <v>0</v>
      </c>
      <c r="AI42" s="345">
        <f t="shared" si="20"/>
        <v>0</v>
      </c>
      <c r="AJ42" s="306">
        <f t="shared" si="2"/>
        <v>0</v>
      </c>
      <c r="AK42" s="306">
        <f t="shared" si="3"/>
        <v>0</v>
      </c>
      <c r="AL42" s="306">
        <f t="shared" si="4"/>
        <v>0</v>
      </c>
      <c r="AM42" s="749"/>
      <c r="AN42" s="763"/>
      <c r="AO42" s="780"/>
      <c r="AP42" s="898">
        <f t="shared" si="21"/>
        <v>0</v>
      </c>
      <c r="AQ42" s="896"/>
      <c r="AR42" s="896"/>
      <c r="AS42" s="780"/>
      <c r="AT42" s="780"/>
      <c r="AU42" s="780"/>
      <c r="AV42" s="780"/>
      <c r="AW42" s="780"/>
      <c r="AX42" s="780"/>
      <c r="AY42" s="780"/>
      <c r="AZ42" s="780"/>
      <c r="BA42" s="780"/>
      <c r="BD42" s="334"/>
    </row>
    <row r="43" spans="1:56" x14ac:dyDescent="0.2">
      <c r="A43" s="346"/>
      <c r="B43" s="347"/>
      <c r="C43" s="348"/>
      <c r="D43" s="349"/>
      <c r="E43" s="349"/>
      <c r="F43" s="350"/>
      <c r="G43" s="1211">
        <f t="shared" si="5"/>
        <v>0</v>
      </c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1212">
        <f t="shared" si="0"/>
        <v>0</v>
      </c>
      <c r="S43" s="1213">
        <f t="shared" si="1"/>
        <v>0</v>
      </c>
      <c r="T43" s="341"/>
      <c r="U43" s="381">
        <f t="shared" si="6"/>
        <v>0</v>
      </c>
      <c r="V43" s="342">
        <f t="shared" si="7"/>
        <v>0</v>
      </c>
      <c r="W43" s="342">
        <f t="shared" si="8"/>
        <v>0</v>
      </c>
      <c r="X43" s="342">
        <f t="shared" si="9"/>
        <v>0</v>
      </c>
      <c r="Y43" s="382">
        <f t="shared" si="10"/>
        <v>0</v>
      </c>
      <c r="Z43" s="343">
        <f t="shared" si="11"/>
        <v>0</v>
      </c>
      <c r="AA43" s="343">
        <f t="shared" si="12"/>
        <v>0</v>
      </c>
      <c r="AB43" s="343">
        <f t="shared" si="13"/>
        <v>0</v>
      </c>
      <c r="AC43" s="383">
        <f t="shared" si="14"/>
        <v>0</v>
      </c>
      <c r="AD43" s="344">
        <f t="shared" si="15"/>
        <v>0</v>
      </c>
      <c r="AE43" s="344">
        <f t="shared" si="16"/>
        <v>0</v>
      </c>
      <c r="AF43" s="344">
        <f t="shared" si="17"/>
        <v>0</v>
      </c>
      <c r="AG43" s="345">
        <f t="shared" si="18"/>
        <v>0</v>
      </c>
      <c r="AH43" s="345">
        <f t="shared" si="19"/>
        <v>0</v>
      </c>
      <c r="AI43" s="345">
        <f t="shared" si="20"/>
        <v>0</v>
      </c>
      <c r="AJ43" s="306">
        <f t="shared" si="2"/>
        <v>0</v>
      </c>
      <c r="AK43" s="306">
        <f t="shared" si="3"/>
        <v>0</v>
      </c>
      <c r="AL43" s="306">
        <f t="shared" si="4"/>
        <v>0</v>
      </c>
      <c r="AM43" s="749"/>
      <c r="AN43" s="763"/>
      <c r="AO43" s="780"/>
      <c r="AP43" s="898">
        <f t="shared" si="21"/>
        <v>0</v>
      </c>
      <c r="AQ43" s="896"/>
      <c r="AR43" s="896"/>
      <c r="AS43" s="780"/>
      <c r="AT43" s="780"/>
      <c r="AU43" s="780"/>
      <c r="AV43" s="780"/>
      <c r="AW43" s="780"/>
      <c r="AX43" s="780"/>
      <c r="AY43" s="780"/>
      <c r="AZ43" s="780"/>
      <c r="BA43" s="780"/>
      <c r="BD43" s="334"/>
    </row>
    <row r="44" spans="1:56" x14ac:dyDescent="0.2">
      <c r="A44" s="346"/>
      <c r="B44" s="347"/>
      <c r="C44" s="348"/>
      <c r="D44" s="349"/>
      <c r="E44" s="349"/>
      <c r="F44" s="350"/>
      <c r="G44" s="1211">
        <f t="shared" si="5"/>
        <v>0</v>
      </c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1212">
        <f t="shared" si="0"/>
        <v>0</v>
      </c>
      <c r="S44" s="1213">
        <f t="shared" si="1"/>
        <v>0</v>
      </c>
      <c r="T44" s="341"/>
      <c r="U44" s="381">
        <f t="shared" si="6"/>
        <v>0</v>
      </c>
      <c r="V44" s="342">
        <f t="shared" si="7"/>
        <v>0</v>
      </c>
      <c r="W44" s="342">
        <f t="shared" si="8"/>
        <v>0</v>
      </c>
      <c r="X44" s="342">
        <f t="shared" si="9"/>
        <v>0</v>
      </c>
      <c r="Y44" s="382">
        <f t="shared" si="10"/>
        <v>0</v>
      </c>
      <c r="Z44" s="343">
        <f t="shared" si="11"/>
        <v>0</v>
      </c>
      <c r="AA44" s="343">
        <f t="shared" si="12"/>
        <v>0</v>
      </c>
      <c r="AB44" s="343">
        <f t="shared" si="13"/>
        <v>0</v>
      </c>
      <c r="AC44" s="383">
        <f t="shared" si="14"/>
        <v>0</v>
      </c>
      <c r="AD44" s="344">
        <f t="shared" si="15"/>
        <v>0</v>
      </c>
      <c r="AE44" s="344">
        <f t="shared" si="16"/>
        <v>0</v>
      </c>
      <c r="AF44" s="344">
        <f t="shared" si="17"/>
        <v>0</v>
      </c>
      <c r="AG44" s="345">
        <f t="shared" si="18"/>
        <v>0</v>
      </c>
      <c r="AH44" s="345">
        <f t="shared" si="19"/>
        <v>0</v>
      </c>
      <c r="AI44" s="345">
        <f t="shared" si="20"/>
        <v>0</v>
      </c>
      <c r="AJ44" s="306">
        <f t="shared" si="2"/>
        <v>0</v>
      </c>
      <c r="AK44" s="306">
        <f t="shared" si="3"/>
        <v>0</v>
      </c>
      <c r="AL44" s="306">
        <f t="shared" si="4"/>
        <v>0</v>
      </c>
      <c r="AM44" s="749"/>
      <c r="AN44" s="763"/>
      <c r="AO44" s="780"/>
      <c r="AP44" s="898">
        <f t="shared" si="21"/>
        <v>0</v>
      </c>
      <c r="AQ44" s="896"/>
      <c r="AR44" s="896"/>
      <c r="AS44" s="780"/>
      <c r="AT44" s="780"/>
      <c r="AU44" s="780"/>
      <c r="AV44" s="780"/>
      <c r="AW44" s="780"/>
      <c r="AX44" s="780"/>
      <c r="AY44" s="780"/>
      <c r="AZ44" s="780"/>
      <c r="BA44" s="780"/>
      <c r="BD44" s="334"/>
    </row>
    <row r="45" spans="1:56" x14ac:dyDescent="0.2">
      <c r="A45" s="346"/>
      <c r="B45" s="347"/>
      <c r="C45" s="348"/>
      <c r="D45" s="349"/>
      <c r="E45" s="349"/>
      <c r="F45" s="350"/>
      <c r="G45" s="1211">
        <f t="shared" si="5"/>
        <v>0</v>
      </c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1212">
        <f t="shared" si="0"/>
        <v>0</v>
      </c>
      <c r="S45" s="1213">
        <f t="shared" si="1"/>
        <v>0</v>
      </c>
      <c r="T45" s="341"/>
      <c r="U45" s="381">
        <f t="shared" si="6"/>
        <v>0</v>
      </c>
      <c r="V45" s="342">
        <f t="shared" si="7"/>
        <v>0</v>
      </c>
      <c r="W45" s="342">
        <f t="shared" si="8"/>
        <v>0</v>
      </c>
      <c r="X45" s="342">
        <f t="shared" si="9"/>
        <v>0</v>
      </c>
      <c r="Y45" s="382">
        <f t="shared" si="10"/>
        <v>0</v>
      </c>
      <c r="Z45" s="343">
        <f t="shared" si="11"/>
        <v>0</v>
      </c>
      <c r="AA45" s="343">
        <f t="shared" si="12"/>
        <v>0</v>
      </c>
      <c r="AB45" s="343">
        <f t="shared" si="13"/>
        <v>0</v>
      </c>
      <c r="AC45" s="383">
        <f t="shared" si="14"/>
        <v>0</v>
      </c>
      <c r="AD45" s="344">
        <f t="shared" si="15"/>
        <v>0</v>
      </c>
      <c r="AE45" s="344">
        <f t="shared" si="16"/>
        <v>0</v>
      </c>
      <c r="AF45" s="344">
        <f t="shared" si="17"/>
        <v>0</v>
      </c>
      <c r="AG45" s="345">
        <f t="shared" si="18"/>
        <v>0</v>
      </c>
      <c r="AH45" s="345">
        <f t="shared" si="19"/>
        <v>0</v>
      </c>
      <c r="AI45" s="345">
        <f t="shared" si="20"/>
        <v>0</v>
      </c>
      <c r="AJ45" s="306">
        <f t="shared" si="2"/>
        <v>0</v>
      </c>
      <c r="AK45" s="306">
        <f t="shared" si="3"/>
        <v>0</v>
      </c>
      <c r="AL45" s="306">
        <f t="shared" si="4"/>
        <v>0</v>
      </c>
      <c r="AM45" s="749"/>
      <c r="AN45" s="763"/>
      <c r="AO45" s="780"/>
      <c r="AP45" s="898">
        <f t="shared" si="21"/>
        <v>0</v>
      </c>
      <c r="AQ45" s="896"/>
      <c r="AR45" s="896"/>
      <c r="AS45" s="780"/>
      <c r="AT45" s="780"/>
      <c r="AU45" s="780"/>
      <c r="AV45" s="780"/>
      <c r="AW45" s="780"/>
      <c r="AX45" s="780"/>
      <c r="AY45" s="780"/>
      <c r="AZ45" s="780"/>
      <c r="BA45" s="780"/>
      <c r="BD45" s="334"/>
    </row>
    <row r="46" spans="1:56" x14ac:dyDescent="0.2">
      <c r="A46" s="346"/>
      <c r="B46" s="347"/>
      <c r="C46" s="348"/>
      <c r="D46" s="349"/>
      <c r="E46" s="349"/>
      <c r="F46" s="350"/>
      <c r="G46" s="1211">
        <f t="shared" si="5"/>
        <v>0</v>
      </c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1212">
        <f t="shared" si="0"/>
        <v>0</v>
      </c>
      <c r="S46" s="1213">
        <f t="shared" si="1"/>
        <v>0</v>
      </c>
      <c r="T46" s="341"/>
      <c r="U46" s="381">
        <f t="shared" si="6"/>
        <v>0</v>
      </c>
      <c r="V46" s="342">
        <f t="shared" si="7"/>
        <v>0</v>
      </c>
      <c r="W46" s="342">
        <f t="shared" si="8"/>
        <v>0</v>
      </c>
      <c r="X46" s="342">
        <f t="shared" si="9"/>
        <v>0</v>
      </c>
      <c r="Y46" s="382">
        <f t="shared" si="10"/>
        <v>0</v>
      </c>
      <c r="Z46" s="343">
        <f t="shared" si="11"/>
        <v>0</v>
      </c>
      <c r="AA46" s="343">
        <f t="shared" si="12"/>
        <v>0</v>
      </c>
      <c r="AB46" s="343">
        <f t="shared" si="13"/>
        <v>0</v>
      </c>
      <c r="AC46" s="383">
        <f t="shared" si="14"/>
        <v>0</v>
      </c>
      <c r="AD46" s="344">
        <f t="shared" si="15"/>
        <v>0</v>
      </c>
      <c r="AE46" s="344">
        <f t="shared" si="16"/>
        <v>0</v>
      </c>
      <c r="AF46" s="344">
        <f t="shared" si="17"/>
        <v>0</v>
      </c>
      <c r="AG46" s="345">
        <f t="shared" si="18"/>
        <v>0</v>
      </c>
      <c r="AH46" s="345">
        <f t="shared" si="19"/>
        <v>0</v>
      </c>
      <c r="AI46" s="345">
        <f t="shared" si="20"/>
        <v>0</v>
      </c>
      <c r="AJ46" s="306">
        <f t="shared" si="2"/>
        <v>0</v>
      </c>
      <c r="AK46" s="306">
        <f t="shared" si="3"/>
        <v>0</v>
      </c>
      <c r="AL46" s="306">
        <f t="shared" si="4"/>
        <v>0</v>
      </c>
      <c r="AM46" s="749"/>
      <c r="AN46" s="763"/>
      <c r="AO46" s="780"/>
      <c r="AP46" s="898">
        <f t="shared" si="21"/>
        <v>0</v>
      </c>
      <c r="AQ46" s="896"/>
      <c r="AR46" s="896"/>
      <c r="AS46" s="780"/>
      <c r="AT46" s="780"/>
      <c r="AU46" s="780"/>
      <c r="AV46" s="780"/>
      <c r="AW46" s="780"/>
      <c r="AX46" s="780"/>
      <c r="AY46" s="780"/>
      <c r="AZ46" s="780"/>
      <c r="BA46" s="780"/>
      <c r="BD46" s="334"/>
    </row>
    <row r="47" spans="1:56" x14ac:dyDescent="0.2">
      <c r="A47" s="346"/>
      <c r="B47" s="347"/>
      <c r="C47" s="348"/>
      <c r="D47" s="349"/>
      <c r="E47" s="349"/>
      <c r="F47" s="350"/>
      <c r="G47" s="1211">
        <f t="shared" si="5"/>
        <v>0</v>
      </c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1212">
        <f t="shared" si="0"/>
        <v>0</v>
      </c>
      <c r="S47" s="1213">
        <f t="shared" si="1"/>
        <v>0</v>
      </c>
      <c r="T47" s="341"/>
      <c r="U47" s="381">
        <f t="shared" si="6"/>
        <v>0</v>
      </c>
      <c r="V47" s="342">
        <f t="shared" si="7"/>
        <v>0</v>
      </c>
      <c r="W47" s="342">
        <f t="shared" si="8"/>
        <v>0</v>
      </c>
      <c r="X47" s="342">
        <f t="shared" si="9"/>
        <v>0</v>
      </c>
      <c r="Y47" s="382">
        <f t="shared" si="10"/>
        <v>0</v>
      </c>
      <c r="Z47" s="343">
        <f t="shared" si="11"/>
        <v>0</v>
      </c>
      <c r="AA47" s="343">
        <f t="shared" si="12"/>
        <v>0</v>
      </c>
      <c r="AB47" s="343">
        <f t="shared" si="13"/>
        <v>0</v>
      </c>
      <c r="AC47" s="383">
        <f t="shared" si="14"/>
        <v>0</v>
      </c>
      <c r="AD47" s="344">
        <f t="shared" si="15"/>
        <v>0</v>
      </c>
      <c r="AE47" s="344">
        <f t="shared" si="16"/>
        <v>0</v>
      </c>
      <c r="AF47" s="344">
        <f t="shared" si="17"/>
        <v>0</v>
      </c>
      <c r="AG47" s="345">
        <f t="shared" si="18"/>
        <v>0</v>
      </c>
      <c r="AH47" s="345">
        <f t="shared" si="19"/>
        <v>0</v>
      </c>
      <c r="AI47" s="345">
        <f t="shared" si="20"/>
        <v>0</v>
      </c>
      <c r="AJ47" s="306">
        <f t="shared" si="2"/>
        <v>0</v>
      </c>
      <c r="AK47" s="306">
        <f t="shared" si="3"/>
        <v>0</v>
      </c>
      <c r="AL47" s="306">
        <f t="shared" si="4"/>
        <v>0</v>
      </c>
      <c r="AM47" s="749"/>
      <c r="AN47" s="763"/>
      <c r="AO47" s="780"/>
      <c r="AP47" s="898">
        <f t="shared" si="21"/>
        <v>0</v>
      </c>
      <c r="AQ47" s="896"/>
      <c r="AR47" s="896"/>
      <c r="AS47" s="780"/>
      <c r="AT47" s="780"/>
      <c r="AU47" s="780"/>
      <c r="AV47" s="780"/>
      <c r="AW47" s="780"/>
      <c r="AX47" s="780"/>
      <c r="AY47" s="780"/>
      <c r="AZ47" s="780"/>
      <c r="BA47" s="780"/>
      <c r="BD47" s="334"/>
    </row>
    <row r="48" spans="1:56" x14ac:dyDescent="0.2">
      <c r="A48" s="346"/>
      <c r="B48" s="347"/>
      <c r="C48" s="348"/>
      <c r="D48" s="349"/>
      <c r="E48" s="349"/>
      <c r="F48" s="350"/>
      <c r="G48" s="1211">
        <f t="shared" si="5"/>
        <v>0</v>
      </c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1212">
        <f t="shared" si="0"/>
        <v>0</v>
      </c>
      <c r="S48" s="1213">
        <f t="shared" si="1"/>
        <v>0</v>
      </c>
      <c r="T48" s="341"/>
      <c r="U48" s="381">
        <f t="shared" si="6"/>
        <v>0</v>
      </c>
      <c r="V48" s="342">
        <f t="shared" si="7"/>
        <v>0</v>
      </c>
      <c r="W48" s="342">
        <f t="shared" si="8"/>
        <v>0</v>
      </c>
      <c r="X48" s="342">
        <f t="shared" si="9"/>
        <v>0</v>
      </c>
      <c r="Y48" s="382">
        <f t="shared" si="10"/>
        <v>0</v>
      </c>
      <c r="Z48" s="343">
        <f t="shared" si="11"/>
        <v>0</v>
      </c>
      <c r="AA48" s="343">
        <f t="shared" si="12"/>
        <v>0</v>
      </c>
      <c r="AB48" s="343">
        <f t="shared" si="13"/>
        <v>0</v>
      </c>
      <c r="AC48" s="383">
        <f t="shared" si="14"/>
        <v>0</v>
      </c>
      <c r="AD48" s="344">
        <f t="shared" si="15"/>
        <v>0</v>
      </c>
      <c r="AE48" s="344">
        <f t="shared" si="16"/>
        <v>0</v>
      </c>
      <c r="AF48" s="344">
        <f t="shared" si="17"/>
        <v>0</v>
      </c>
      <c r="AG48" s="345">
        <f t="shared" si="18"/>
        <v>0</v>
      </c>
      <c r="AH48" s="345">
        <f t="shared" si="19"/>
        <v>0</v>
      </c>
      <c r="AI48" s="345">
        <f t="shared" si="20"/>
        <v>0</v>
      </c>
      <c r="AJ48" s="306">
        <f t="shared" si="2"/>
        <v>0</v>
      </c>
      <c r="AK48" s="306">
        <f t="shared" si="3"/>
        <v>0</v>
      </c>
      <c r="AL48" s="306">
        <f t="shared" si="4"/>
        <v>0</v>
      </c>
      <c r="AM48" s="749"/>
      <c r="AN48" s="763"/>
      <c r="AO48" s="780"/>
      <c r="AP48" s="898">
        <f t="shared" si="21"/>
        <v>0</v>
      </c>
      <c r="AQ48" s="896"/>
      <c r="AR48" s="896"/>
      <c r="AS48" s="780"/>
      <c r="AT48" s="780"/>
      <c r="AU48" s="780"/>
      <c r="AV48" s="780"/>
      <c r="AW48" s="780"/>
      <c r="AX48" s="780"/>
      <c r="AY48" s="780"/>
      <c r="AZ48" s="780"/>
      <c r="BA48" s="780"/>
      <c r="BD48" s="334"/>
    </row>
    <row r="49" spans="1:56" x14ac:dyDescent="0.2">
      <c r="A49" s="346"/>
      <c r="B49" s="347"/>
      <c r="C49" s="348"/>
      <c r="D49" s="349"/>
      <c r="E49" s="349"/>
      <c r="F49" s="350"/>
      <c r="G49" s="1211">
        <f t="shared" si="5"/>
        <v>0</v>
      </c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1212">
        <f t="shared" si="0"/>
        <v>0</v>
      </c>
      <c r="S49" s="1213">
        <f t="shared" si="1"/>
        <v>0</v>
      </c>
      <c r="T49" s="341"/>
      <c r="U49" s="381">
        <f t="shared" si="6"/>
        <v>0</v>
      </c>
      <c r="V49" s="342">
        <f t="shared" si="7"/>
        <v>0</v>
      </c>
      <c r="W49" s="342">
        <f t="shared" si="8"/>
        <v>0</v>
      </c>
      <c r="X49" s="342">
        <f t="shared" si="9"/>
        <v>0</v>
      </c>
      <c r="Y49" s="382">
        <f t="shared" si="10"/>
        <v>0</v>
      </c>
      <c r="Z49" s="343">
        <f t="shared" si="11"/>
        <v>0</v>
      </c>
      <c r="AA49" s="343">
        <f t="shared" si="12"/>
        <v>0</v>
      </c>
      <c r="AB49" s="343">
        <f t="shared" si="13"/>
        <v>0</v>
      </c>
      <c r="AC49" s="383">
        <f t="shared" si="14"/>
        <v>0</v>
      </c>
      <c r="AD49" s="344">
        <f t="shared" si="15"/>
        <v>0</v>
      </c>
      <c r="AE49" s="344">
        <f t="shared" si="16"/>
        <v>0</v>
      </c>
      <c r="AF49" s="344">
        <f t="shared" si="17"/>
        <v>0</v>
      </c>
      <c r="AG49" s="345">
        <f t="shared" si="18"/>
        <v>0</v>
      </c>
      <c r="AH49" s="345">
        <f t="shared" si="19"/>
        <v>0</v>
      </c>
      <c r="AI49" s="345">
        <f t="shared" si="20"/>
        <v>0</v>
      </c>
      <c r="AJ49" s="306">
        <f t="shared" si="2"/>
        <v>0</v>
      </c>
      <c r="AK49" s="306">
        <f t="shared" si="3"/>
        <v>0</v>
      </c>
      <c r="AL49" s="306">
        <f t="shared" si="4"/>
        <v>0</v>
      </c>
      <c r="AM49" s="749"/>
      <c r="AN49" s="763"/>
      <c r="AO49" s="780"/>
      <c r="AP49" s="898">
        <f t="shared" si="21"/>
        <v>0</v>
      </c>
      <c r="AQ49" s="896"/>
      <c r="AR49" s="896"/>
      <c r="AS49" s="780"/>
      <c r="AT49" s="780"/>
      <c r="AU49" s="780"/>
      <c r="AV49" s="780"/>
      <c r="AW49" s="780"/>
      <c r="AX49" s="780"/>
      <c r="AY49" s="780"/>
      <c r="AZ49" s="780"/>
      <c r="BA49" s="780"/>
      <c r="BD49" s="334"/>
    </row>
    <row r="50" spans="1:56" x14ac:dyDescent="0.2">
      <c r="A50" s="346"/>
      <c r="B50" s="347"/>
      <c r="C50" s="348"/>
      <c r="D50" s="349"/>
      <c r="E50" s="349"/>
      <c r="F50" s="350"/>
      <c r="G50" s="1211">
        <f t="shared" si="5"/>
        <v>0</v>
      </c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1212">
        <f t="shared" si="0"/>
        <v>0</v>
      </c>
      <c r="S50" s="1213">
        <f t="shared" si="1"/>
        <v>0</v>
      </c>
      <c r="T50" s="341"/>
      <c r="U50" s="381">
        <f t="shared" si="6"/>
        <v>0</v>
      </c>
      <c r="V50" s="342">
        <f t="shared" si="7"/>
        <v>0</v>
      </c>
      <c r="W50" s="342">
        <f t="shared" si="8"/>
        <v>0</v>
      </c>
      <c r="X50" s="342">
        <f t="shared" si="9"/>
        <v>0</v>
      </c>
      <c r="Y50" s="382">
        <f t="shared" si="10"/>
        <v>0</v>
      </c>
      <c r="Z50" s="343">
        <f t="shared" si="11"/>
        <v>0</v>
      </c>
      <c r="AA50" s="343">
        <f t="shared" si="12"/>
        <v>0</v>
      </c>
      <c r="AB50" s="343">
        <f t="shared" si="13"/>
        <v>0</v>
      </c>
      <c r="AC50" s="383">
        <f t="shared" si="14"/>
        <v>0</v>
      </c>
      <c r="AD50" s="344">
        <f t="shared" si="15"/>
        <v>0</v>
      </c>
      <c r="AE50" s="344">
        <f t="shared" si="16"/>
        <v>0</v>
      </c>
      <c r="AF50" s="344">
        <f t="shared" si="17"/>
        <v>0</v>
      </c>
      <c r="AG50" s="345">
        <f t="shared" si="18"/>
        <v>0</v>
      </c>
      <c r="AH50" s="345">
        <f t="shared" si="19"/>
        <v>0</v>
      </c>
      <c r="AI50" s="345">
        <f t="shared" si="20"/>
        <v>0</v>
      </c>
      <c r="AJ50" s="306">
        <f t="shared" si="2"/>
        <v>0</v>
      </c>
      <c r="AK50" s="306">
        <f t="shared" si="3"/>
        <v>0</v>
      </c>
      <c r="AL50" s="306">
        <f t="shared" si="4"/>
        <v>0</v>
      </c>
      <c r="AM50" s="749"/>
      <c r="AN50" s="763"/>
      <c r="AO50" s="780"/>
      <c r="AP50" s="898">
        <f t="shared" si="21"/>
        <v>0</v>
      </c>
      <c r="AQ50" s="896"/>
      <c r="AR50" s="896"/>
      <c r="AS50" s="780"/>
      <c r="AT50" s="780"/>
      <c r="AU50" s="780"/>
      <c r="AV50" s="780"/>
      <c r="AW50" s="780"/>
      <c r="AX50" s="780"/>
      <c r="AY50" s="780"/>
      <c r="AZ50" s="780"/>
      <c r="BA50" s="780"/>
      <c r="BD50" s="334"/>
    </row>
    <row r="51" spans="1:56" x14ac:dyDescent="0.2">
      <c r="A51" s="346"/>
      <c r="B51" s="347"/>
      <c r="C51" s="348"/>
      <c r="D51" s="349"/>
      <c r="E51" s="349"/>
      <c r="F51" s="350"/>
      <c r="G51" s="1211">
        <f t="shared" si="5"/>
        <v>0</v>
      </c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1212">
        <f t="shared" si="0"/>
        <v>0</v>
      </c>
      <c r="S51" s="1213">
        <f t="shared" si="1"/>
        <v>0</v>
      </c>
      <c r="T51" s="341"/>
      <c r="U51" s="381">
        <f t="shared" si="6"/>
        <v>0</v>
      </c>
      <c r="V51" s="342">
        <f t="shared" si="7"/>
        <v>0</v>
      </c>
      <c r="W51" s="342">
        <f t="shared" si="8"/>
        <v>0</v>
      </c>
      <c r="X51" s="342">
        <f t="shared" si="9"/>
        <v>0</v>
      </c>
      <c r="Y51" s="382">
        <f t="shared" si="10"/>
        <v>0</v>
      </c>
      <c r="Z51" s="343">
        <f t="shared" si="11"/>
        <v>0</v>
      </c>
      <c r="AA51" s="343">
        <f t="shared" si="12"/>
        <v>0</v>
      </c>
      <c r="AB51" s="343">
        <f t="shared" si="13"/>
        <v>0</v>
      </c>
      <c r="AC51" s="383">
        <f t="shared" si="14"/>
        <v>0</v>
      </c>
      <c r="AD51" s="344">
        <f t="shared" si="15"/>
        <v>0</v>
      </c>
      <c r="AE51" s="344">
        <f t="shared" si="16"/>
        <v>0</v>
      </c>
      <c r="AF51" s="344">
        <f t="shared" si="17"/>
        <v>0</v>
      </c>
      <c r="AG51" s="345">
        <f t="shared" si="18"/>
        <v>0</v>
      </c>
      <c r="AH51" s="345">
        <f t="shared" si="19"/>
        <v>0</v>
      </c>
      <c r="AI51" s="345">
        <f t="shared" si="20"/>
        <v>0</v>
      </c>
      <c r="AJ51" s="306">
        <f t="shared" si="2"/>
        <v>0</v>
      </c>
      <c r="AK51" s="306">
        <f t="shared" si="3"/>
        <v>0</v>
      </c>
      <c r="AL51" s="306">
        <f t="shared" si="4"/>
        <v>0</v>
      </c>
      <c r="AM51" s="749"/>
      <c r="AN51" s="763"/>
      <c r="AO51" s="780"/>
      <c r="AP51" s="898">
        <f t="shared" si="21"/>
        <v>0</v>
      </c>
      <c r="AQ51" s="896"/>
      <c r="AR51" s="896"/>
      <c r="AS51" s="780"/>
      <c r="AT51" s="780"/>
      <c r="AU51" s="780"/>
      <c r="AV51" s="780"/>
      <c r="AW51" s="780"/>
      <c r="AX51" s="780"/>
      <c r="AY51" s="780"/>
      <c r="AZ51" s="780"/>
      <c r="BA51" s="780"/>
      <c r="BD51" s="334"/>
    </row>
    <row r="52" spans="1:56" x14ac:dyDescent="0.2">
      <c r="A52" s="346"/>
      <c r="B52" s="347"/>
      <c r="C52" s="348"/>
      <c r="D52" s="349"/>
      <c r="E52" s="349"/>
      <c r="F52" s="350"/>
      <c r="G52" s="1211">
        <f t="shared" si="5"/>
        <v>0</v>
      </c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1212">
        <f t="shared" si="0"/>
        <v>0</v>
      </c>
      <c r="S52" s="1213">
        <f t="shared" si="1"/>
        <v>0</v>
      </c>
      <c r="T52" s="341"/>
      <c r="U52" s="381">
        <f t="shared" si="6"/>
        <v>0</v>
      </c>
      <c r="V52" s="342">
        <f t="shared" si="7"/>
        <v>0</v>
      </c>
      <c r="W52" s="342">
        <f t="shared" si="8"/>
        <v>0</v>
      </c>
      <c r="X52" s="342">
        <f t="shared" si="9"/>
        <v>0</v>
      </c>
      <c r="Y52" s="382">
        <f t="shared" si="10"/>
        <v>0</v>
      </c>
      <c r="Z52" s="343">
        <f t="shared" si="11"/>
        <v>0</v>
      </c>
      <c r="AA52" s="343">
        <f t="shared" si="12"/>
        <v>0</v>
      </c>
      <c r="AB52" s="343">
        <f t="shared" si="13"/>
        <v>0</v>
      </c>
      <c r="AC52" s="383">
        <f t="shared" si="14"/>
        <v>0</v>
      </c>
      <c r="AD52" s="344">
        <f t="shared" si="15"/>
        <v>0</v>
      </c>
      <c r="AE52" s="344">
        <f t="shared" si="16"/>
        <v>0</v>
      </c>
      <c r="AF52" s="344">
        <f t="shared" si="17"/>
        <v>0</v>
      </c>
      <c r="AG52" s="345">
        <f t="shared" si="18"/>
        <v>0</v>
      </c>
      <c r="AH52" s="345">
        <f t="shared" si="19"/>
        <v>0</v>
      </c>
      <c r="AI52" s="345">
        <f t="shared" si="20"/>
        <v>0</v>
      </c>
      <c r="AJ52" s="306">
        <f t="shared" si="2"/>
        <v>0</v>
      </c>
      <c r="AK52" s="306">
        <f t="shared" si="3"/>
        <v>0</v>
      </c>
      <c r="AL52" s="306">
        <f t="shared" si="4"/>
        <v>0</v>
      </c>
      <c r="AM52" s="749"/>
      <c r="AN52" s="763"/>
      <c r="AO52" s="780"/>
      <c r="AP52" s="898">
        <f t="shared" si="21"/>
        <v>0</v>
      </c>
      <c r="AQ52" s="896"/>
      <c r="AR52" s="896"/>
      <c r="AS52" s="780"/>
      <c r="AT52" s="780"/>
      <c r="AU52" s="780"/>
      <c r="AV52" s="780"/>
      <c r="AW52" s="780"/>
      <c r="AX52" s="780"/>
      <c r="AY52" s="780"/>
      <c r="AZ52" s="780"/>
      <c r="BA52" s="780"/>
      <c r="BD52" s="334"/>
    </row>
    <row r="53" spans="1:56" x14ac:dyDescent="0.2">
      <c r="A53" s="346"/>
      <c r="B53" s="347"/>
      <c r="C53" s="348"/>
      <c r="D53" s="349"/>
      <c r="E53" s="349"/>
      <c r="F53" s="350"/>
      <c r="G53" s="1211">
        <f t="shared" si="5"/>
        <v>0</v>
      </c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1212">
        <f t="shared" si="0"/>
        <v>0</v>
      </c>
      <c r="S53" s="1213">
        <f t="shared" si="1"/>
        <v>0</v>
      </c>
      <c r="T53" s="341"/>
      <c r="U53" s="381">
        <f t="shared" si="6"/>
        <v>0</v>
      </c>
      <c r="V53" s="342">
        <f t="shared" si="7"/>
        <v>0</v>
      </c>
      <c r="W53" s="342">
        <f t="shared" si="8"/>
        <v>0</v>
      </c>
      <c r="X53" s="342">
        <f t="shared" si="9"/>
        <v>0</v>
      </c>
      <c r="Y53" s="382">
        <f t="shared" si="10"/>
        <v>0</v>
      </c>
      <c r="Z53" s="343">
        <f t="shared" si="11"/>
        <v>0</v>
      </c>
      <c r="AA53" s="343">
        <f t="shared" si="12"/>
        <v>0</v>
      </c>
      <c r="AB53" s="343">
        <f t="shared" si="13"/>
        <v>0</v>
      </c>
      <c r="AC53" s="383">
        <f t="shared" si="14"/>
        <v>0</v>
      </c>
      <c r="AD53" s="344">
        <f t="shared" si="15"/>
        <v>0</v>
      </c>
      <c r="AE53" s="344">
        <f t="shared" si="16"/>
        <v>0</v>
      </c>
      <c r="AF53" s="344">
        <f t="shared" si="17"/>
        <v>0</v>
      </c>
      <c r="AG53" s="345">
        <f t="shared" si="18"/>
        <v>0</v>
      </c>
      <c r="AH53" s="345">
        <f t="shared" si="19"/>
        <v>0</v>
      </c>
      <c r="AI53" s="345">
        <f t="shared" si="20"/>
        <v>0</v>
      </c>
      <c r="AJ53" s="306">
        <f t="shared" si="2"/>
        <v>0</v>
      </c>
      <c r="AK53" s="306">
        <f t="shared" si="3"/>
        <v>0</v>
      </c>
      <c r="AL53" s="306">
        <f t="shared" si="4"/>
        <v>0</v>
      </c>
      <c r="AM53" s="749"/>
      <c r="AN53" s="763"/>
      <c r="AO53" s="780"/>
      <c r="AP53" s="898">
        <f t="shared" si="21"/>
        <v>0</v>
      </c>
      <c r="AQ53" s="896"/>
      <c r="AR53" s="896"/>
      <c r="AS53" s="780"/>
      <c r="AT53" s="780"/>
      <c r="AU53" s="780"/>
      <c r="AV53" s="780"/>
      <c r="AW53" s="780"/>
      <c r="AX53" s="780"/>
      <c r="AY53" s="780"/>
      <c r="AZ53" s="780"/>
      <c r="BA53" s="780"/>
      <c r="BD53" s="334"/>
    </row>
    <row r="54" spans="1:56" x14ac:dyDescent="0.2">
      <c r="A54" s="346"/>
      <c r="B54" s="347"/>
      <c r="C54" s="348"/>
      <c r="D54" s="349"/>
      <c r="E54" s="349"/>
      <c r="F54" s="350"/>
      <c r="G54" s="1211">
        <f t="shared" si="5"/>
        <v>0</v>
      </c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1212">
        <f t="shared" ref="R54:R85" si="27">IFERROR(IF(A54&lt;&gt;"GfB",(SUM(G54:J54,L54,P54)*12+(N54+O54))*(100+$J$12+$J$13)%+((K54+M54+Q54)*12),(SUM(G54:J54,L54,P54)*12+(N54+O54))*(100+$J$15+$J$13)%+((K54+M54+Q54)*12)),0)</f>
        <v>0</v>
      </c>
      <c r="S54" s="1213">
        <f t="shared" ref="S54:S85" si="28">IF(ISERROR(R54/C54),0,(R54/C54))</f>
        <v>0</v>
      </c>
      <c r="T54" s="341"/>
      <c r="U54" s="381">
        <f t="shared" si="6"/>
        <v>0</v>
      </c>
      <c r="V54" s="342">
        <f t="shared" si="7"/>
        <v>0</v>
      </c>
      <c r="W54" s="342">
        <f t="shared" si="8"/>
        <v>0</v>
      </c>
      <c r="X54" s="342">
        <f t="shared" si="9"/>
        <v>0</v>
      </c>
      <c r="Y54" s="382">
        <f t="shared" si="10"/>
        <v>0</v>
      </c>
      <c r="Z54" s="343">
        <f t="shared" si="11"/>
        <v>0</v>
      </c>
      <c r="AA54" s="343">
        <f t="shared" si="12"/>
        <v>0</v>
      </c>
      <c r="AB54" s="343">
        <f t="shared" si="13"/>
        <v>0</v>
      </c>
      <c r="AC54" s="383">
        <f t="shared" si="14"/>
        <v>0</v>
      </c>
      <c r="AD54" s="344">
        <f t="shared" si="15"/>
        <v>0</v>
      </c>
      <c r="AE54" s="344">
        <f t="shared" si="16"/>
        <v>0</v>
      </c>
      <c r="AF54" s="344">
        <f t="shared" si="17"/>
        <v>0</v>
      </c>
      <c r="AG54" s="345">
        <f t="shared" si="18"/>
        <v>0</v>
      </c>
      <c r="AH54" s="345">
        <f t="shared" si="19"/>
        <v>0</v>
      </c>
      <c r="AI54" s="345">
        <f t="shared" si="20"/>
        <v>0</v>
      </c>
      <c r="AJ54" s="306">
        <f t="shared" ref="AJ54:AJ85" si="29">IF(AND($B54="PFK/BFK",$C54&gt;0,$F54&gt;0),$R54,0)</f>
        <v>0</v>
      </c>
      <c r="AK54" s="306">
        <f t="shared" ref="AK54:AK85" si="30">IF(AND($B54="PK/BK",$C54&gt;0,$F54&gt;0),$R54,0)</f>
        <v>0</v>
      </c>
      <c r="AL54" s="306">
        <f t="shared" ref="AL54:AL85" si="31">IF(AND($B54="PK/BK o.",$C54&gt;0,$F54&gt;0),$R54,0)</f>
        <v>0</v>
      </c>
      <c r="AM54" s="749"/>
      <c r="AN54" s="763"/>
      <c r="AO54" s="780"/>
      <c r="AP54" s="898">
        <f t="shared" si="21"/>
        <v>0</v>
      </c>
      <c r="AQ54" s="896"/>
      <c r="AR54" s="896"/>
      <c r="AS54" s="780"/>
      <c r="AT54" s="780"/>
      <c r="AU54" s="780"/>
      <c r="AV54" s="780"/>
      <c r="AW54" s="780"/>
      <c r="AX54" s="780"/>
      <c r="AY54" s="780"/>
      <c r="AZ54" s="780"/>
      <c r="BA54" s="780"/>
      <c r="BD54" s="334"/>
    </row>
    <row r="55" spans="1:56" x14ac:dyDescent="0.2">
      <c r="A55" s="346"/>
      <c r="B55" s="347"/>
      <c r="C55" s="348"/>
      <c r="D55" s="349"/>
      <c r="E55" s="349"/>
      <c r="F55" s="350"/>
      <c r="G55" s="1211">
        <f t="shared" si="5"/>
        <v>0</v>
      </c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1212">
        <f t="shared" si="27"/>
        <v>0</v>
      </c>
      <c r="S55" s="1213">
        <f t="shared" si="28"/>
        <v>0</v>
      </c>
      <c r="T55" s="341"/>
      <c r="U55" s="381">
        <f t="shared" si="6"/>
        <v>0</v>
      </c>
      <c r="V55" s="342">
        <f t="shared" si="7"/>
        <v>0</v>
      </c>
      <c r="W55" s="342">
        <f t="shared" si="8"/>
        <v>0</v>
      </c>
      <c r="X55" s="342">
        <f t="shared" si="9"/>
        <v>0</v>
      </c>
      <c r="Y55" s="382">
        <f t="shared" si="10"/>
        <v>0</v>
      </c>
      <c r="Z55" s="343">
        <f t="shared" si="11"/>
        <v>0</v>
      </c>
      <c r="AA55" s="343">
        <f t="shared" si="12"/>
        <v>0</v>
      </c>
      <c r="AB55" s="343">
        <f t="shared" si="13"/>
        <v>0</v>
      </c>
      <c r="AC55" s="383">
        <f t="shared" si="14"/>
        <v>0</v>
      </c>
      <c r="AD55" s="344">
        <f t="shared" si="15"/>
        <v>0</v>
      </c>
      <c r="AE55" s="344">
        <f t="shared" si="16"/>
        <v>0</v>
      </c>
      <c r="AF55" s="344">
        <f t="shared" si="17"/>
        <v>0</v>
      </c>
      <c r="AG55" s="345">
        <f t="shared" si="18"/>
        <v>0</v>
      </c>
      <c r="AH55" s="345">
        <f t="shared" si="19"/>
        <v>0</v>
      </c>
      <c r="AI55" s="345">
        <f t="shared" si="20"/>
        <v>0</v>
      </c>
      <c r="AJ55" s="306">
        <f t="shared" si="29"/>
        <v>0</v>
      </c>
      <c r="AK55" s="306">
        <f t="shared" si="30"/>
        <v>0</v>
      </c>
      <c r="AL55" s="306">
        <f t="shared" si="31"/>
        <v>0</v>
      </c>
      <c r="AM55" s="749"/>
      <c r="AN55" s="763"/>
      <c r="AO55" s="780"/>
      <c r="AP55" s="898">
        <f t="shared" si="21"/>
        <v>0</v>
      </c>
      <c r="AQ55" s="896"/>
      <c r="AR55" s="896"/>
      <c r="AS55" s="780"/>
      <c r="AT55" s="780"/>
      <c r="AU55" s="780"/>
      <c r="AV55" s="780"/>
      <c r="AW55" s="780"/>
      <c r="AX55" s="780"/>
      <c r="AY55" s="780"/>
      <c r="AZ55" s="780"/>
      <c r="BA55" s="780"/>
      <c r="BD55" s="334"/>
    </row>
    <row r="56" spans="1:56" x14ac:dyDescent="0.2">
      <c r="A56" s="346"/>
      <c r="B56" s="347"/>
      <c r="C56" s="348"/>
      <c r="D56" s="349"/>
      <c r="E56" s="349"/>
      <c r="F56" s="350"/>
      <c r="G56" s="1211">
        <f t="shared" si="5"/>
        <v>0</v>
      </c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1212">
        <f t="shared" si="27"/>
        <v>0</v>
      </c>
      <c r="S56" s="1213">
        <f t="shared" si="28"/>
        <v>0</v>
      </c>
      <c r="T56" s="341"/>
      <c r="U56" s="381">
        <f t="shared" si="6"/>
        <v>0</v>
      </c>
      <c r="V56" s="342">
        <f t="shared" si="7"/>
        <v>0</v>
      </c>
      <c r="W56" s="342">
        <f t="shared" si="8"/>
        <v>0</v>
      </c>
      <c r="X56" s="342">
        <f t="shared" si="9"/>
        <v>0</v>
      </c>
      <c r="Y56" s="382">
        <f t="shared" si="10"/>
        <v>0</v>
      </c>
      <c r="Z56" s="343">
        <f t="shared" si="11"/>
        <v>0</v>
      </c>
      <c r="AA56" s="343">
        <f t="shared" si="12"/>
        <v>0</v>
      </c>
      <c r="AB56" s="343">
        <f t="shared" si="13"/>
        <v>0</v>
      </c>
      <c r="AC56" s="383">
        <f t="shared" si="14"/>
        <v>0</v>
      </c>
      <c r="AD56" s="344">
        <f t="shared" si="15"/>
        <v>0</v>
      </c>
      <c r="AE56" s="344">
        <f t="shared" si="16"/>
        <v>0</v>
      </c>
      <c r="AF56" s="344">
        <f t="shared" si="17"/>
        <v>0</v>
      </c>
      <c r="AG56" s="345">
        <f t="shared" si="18"/>
        <v>0</v>
      </c>
      <c r="AH56" s="345">
        <f t="shared" si="19"/>
        <v>0</v>
      </c>
      <c r="AI56" s="345">
        <f t="shared" si="20"/>
        <v>0</v>
      </c>
      <c r="AJ56" s="306">
        <f t="shared" si="29"/>
        <v>0</v>
      </c>
      <c r="AK56" s="306">
        <f t="shared" si="30"/>
        <v>0</v>
      </c>
      <c r="AL56" s="306">
        <f t="shared" si="31"/>
        <v>0</v>
      </c>
      <c r="AM56" s="749"/>
      <c r="AN56" s="763"/>
      <c r="AO56" s="780"/>
      <c r="AP56" s="898">
        <f t="shared" si="21"/>
        <v>0</v>
      </c>
      <c r="AQ56" s="896"/>
      <c r="AR56" s="896"/>
      <c r="AS56" s="780"/>
      <c r="AT56" s="780"/>
      <c r="AU56" s="780"/>
      <c r="AV56" s="780"/>
      <c r="AW56" s="780"/>
      <c r="AX56" s="780"/>
      <c r="AY56" s="780"/>
      <c r="AZ56" s="780"/>
      <c r="BA56" s="780"/>
      <c r="BD56" s="334"/>
    </row>
    <row r="57" spans="1:56" x14ac:dyDescent="0.2">
      <c r="A57" s="346"/>
      <c r="B57" s="347"/>
      <c r="C57" s="348"/>
      <c r="D57" s="349"/>
      <c r="E57" s="349"/>
      <c r="F57" s="350"/>
      <c r="G57" s="1211">
        <f t="shared" si="5"/>
        <v>0</v>
      </c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1212">
        <f t="shared" si="27"/>
        <v>0</v>
      </c>
      <c r="S57" s="1213">
        <f t="shared" si="28"/>
        <v>0</v>
      </c>
      <c r="T57" s="341"/>
      <c r="U57" s="381">
        <f t="shared" si="6"/>
        <v>0</v>
      </c>
      <c r="V57" s="342">
        <f t="shared" si="7"/>
        <v>0</v>
      </c>
      <c r="W57" s="342">
        <f t="shared" si="8"/>
        <v>0</v>
      </c>
      <c r="X57" s="342">
        <f t="shared" si="9"/>
        <v>0</v>
      </c>
      <c r="Y57" s="382">
        <f t="shared" si="10"/>
        <v>0</v>
      </c>
      <c r="Z57" s="343">
        <f t="shared" si="11"/>
        <v>0</v>
      </c>
      <c r="AA57" s="343">
        <f t="shared" si="12"/>
        <v>0</v>
      </c>
      <c r="AB57" s="343">
        <f t="shared" si="13"/>
        <v>0</v>
      </c>
      <c r="AC57" s="383">
        <f t="shared" si="14"/>
        <v>0</v>
      </c>
      <c r="AD57" s="344">
        <f t="shared" si="15"/>
        <v>0</v>
      </c>
      <c r="AE57" s="344">
        <f t="shared" si="16"/>
        <v>0</v>
      </c>
      <c r="AF57" s="344">
        <f t="shared" si="17"/>
        <v>0</v>
      </c>
      <c r="AG57" s="345">
        <f t="shared" si="18"/>
        <v>0</v>
      </c>
      <c r="AH57" s="345">
        <f t="shared" si="19"/>
        <v>0</v>
      </c>
      <c r="AI57" s="345">
        <f t="shared" si="20"/>
        <v>0</v>
      </c>
      <c r="AJ57" s="306">
        <f t="shared" si="29"/>
        <v>0</v>
      </c>
      <c r="AK57" s="306">
        <f t="shared" si="30"/>
        <v>0</v>
      </c>
      <c r="AL57" s="306">
        <f t="shared" si="31"/>
        <v>0</v>
      </c>
      <c r="AM57" s="749"/>
      <c r="AN57" s="763"/>
      <c r="AO57" s="780"/>
      <c r="AP57" s="898">
        <f t="shared" si="21"/>
        <v>0</v>
      </c>
      <c r="AQ57" s="896"/>
      <c r="AR57" s="896"/>
      <c r="AS57" s="780"/>
      <c r="AT57" s="780"/>
      <c r="AU57" s="780"/>
      <c r="AV57" s="780"/>
      <c r="AW57" s="780"/>
      <c r="AX57" s="780"/>
      <c r="AY57" s="780"/>
      <c r="AZ57" s="780"/>
      <c r="BA57" s="780"/>
      <c r="BD57" s="334"/>
    </row>
    <row r="58" spans="1:56" x14ac:dyDescent="0.2">
      <c r="A58" s="346"/>
      <c r="B58" s="347"/>
      <c r="C58" s="348"/>
      <c r="D58" s="349"/>
      <c r="E58" s="349"/>
      <c r="F58" s="350"/>
      <c r="G58" s="1211">
        <f t="shared" si="5"/>
        <v>0</v>
      </c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1212">
        <f t="shared" si="27"/>
        <v>0</v>
      </c>
      <c r="S58" s="1213">
        <f t="shared" si="28"/>
        <v>0</v>
      </c>
      <c r="T58" s="341"/>
      <c r="U58" s="381">
        <f t="shared" si="6"/>
        <v>0</v>
      </c>
      <c r="V58" s="342">
        <f t="shared" si="7"/>
        <v>0</v>
      </c>
      <c r="W58" s="342">
        <f t="shared" si="8"/>
        <v>0</v>
      </c>
      <c r="X58" s="342">
        <f t="shared" si="9"/>
        <v>0</v>
      </c>
      <c r="Y58" s="382">
        <f t="shared" si="10"/>
        <v>0</v>
      </c>
      <c r="Z58" s="343">
        <f t="shared" si="11"/>
        <v>0</v>
      </c>
      <c r="AA58" s="343">
        <f t="shared" si="12"/>
        <v>0</v>
      </c>
      <c r="AB58" s="343">
        <f t="shared" si="13"/>
        <v>0</v>
      </c>
      <c r="AC58" s="383">
        <f t="shared" si="14"/>
        <v>0</v>
      </c>
      <c r="AD58" s="344">
        <f t="shared" si="15"/>
        <v>0</v>
      </c>
      <c r="AE58" s="344">
        <f t="shared" si="16"/>
        <v>0</v>
      </c>
      <c r="AF58" s="344">
        <f t="shared" si="17"/>
        <v>0</v>
      </c>
      <c r="AG58" s="345">
        <f t="shared" si="18"/>
        <v>0</v>
      </c>
      <c r="AH58" s="345">
        <f t="shared" si="19"/>
        <v>0</v>
      </c>
      <c r="AI58" s="345">
        <f t="shared" si="20"/>
        <v>0</v>
      </c>
      <c r="AJ58" s="306">
        <f t="shared" si="29"/>
        <v>0</v>
      </c>
      <c r="AK58" s="306">
        <f t="shared" si="30"/>
        <v>0</v>
      </c>
      <c r="AL58" s="306">
        <f t="shared" si="31"/>
        <v>0</v>
      </c>
      <c r="AM58" s="749"/>
      <c r="AN58" s="763"/>
      <c r="AO58" s="780"/>
      <c r="AP58" s="898">
        <f t="shared" si="21"/>
        <v>0</v>
      </c>
      <c r="AQ58" s="896"/>
      <c r="AR58" s="896"/>
      <c r="AS58" s="780"/>
      <c r="AT58" s="780"/>
      <c r="AU58" s="780"/>
      <c r="AV58" s="780"/>
      <c r="AW58" s="780"/>
      <c r="AX58" s="780"/>
      <c r="AY58" s="780"/>
      <c r="AZ58" s="780"/>
      <c r="BA58" s="780"/>
      <c r="BD58" s="334"/>
    </row>
    <row r="59" spans="1:56" x14ac:dyDescent="0.2">
      <c r="A59" s="346"/>
      <c r="B59" s="347"/>
      <c r="C59" s="348"/>
      <c r="D59" s="349"/>
      <c r="E59" s="349"/>
      <c r="F59" s="350"/>
      <c r="G59" s="1211">
        <f t="shared" si="5"/>
        <v>0</v>
      </c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1212">
        <f t="shared" si="27"/>
        <v>0</v>
      </c>
      <c r="S59" s="1213">
        <f t="shared" si="28"/>
        <v>0</v>
      </c>
      <c r="T59" s="341"/>
      <c r="U59" s="381">
        <f t="shared" si="6"/>
        <v>0</v>
      </c>
      <c r="V59" s="342">
        <f t="shared" si="7"/>
        <v>0</v>
      </c>
      <c r="W59" s="342">
        <f t="shared" si="8"/>
        <v>0</v>
      </c>
      <c r="X59" s="342">
        <f t="shared" si="9"/>
        <v>0</v>
      </c>
      <c r="Y59" s="382">
        <f t="shared" si="10"/>
        <v>0</v>
      </c>
      <c r="Z59" s="343">
        <f t="shared" si="11"/>
        <v>0</v>
      </c>
      <c r="AA59" s="343">
        <f t="shared" si="12"/>
        <v>0</v>
      </c>
      <c r="AB59" s="343">
        <f t="shared" si="13"/>
        <v>0</v>
      </c>
      <c r="AC59" s="383">
        <f t="shared" si="14"/>
        <v>0</v>
      </c>
      <c r="AD59" s="344">
        <f t="shared" si="15"/>
        <v>0</v>
      </c>
      <c r="AE59" s="344">
        <f t="shared" si="16"/>
        <v>0</v>
      </c>
      <c r="AF59" s="344">
        <f t="shared" si="17"/>
        <v>0</v>
      </c>
      <c r="AG59" s="345">
        <f t="shared" si="18"/>
        <v>0</v>
      </c>
      <c r="AH59" s="345">
        <f t="shared" si="19"/>
        <v>0</v>
      </c>
      <c r="AI59" s="345">
        <f t="shared" si="20"/>
        <v>0</v>
      </c>
      <c r="AJ59" s="306">
        <f t="shared" si="29"/>
        <v>0</v>
      </c>
      <c r="AK59" s="306">
        <f t="shared" si="30"/>
        <v>0</v>
      </c>
      <c r="AL59" s="306">
        <f t="shared" si="31"/>
        <v>0</v>
      </c>
      <c r="AM59" s="749"/>
      <c r="AN59" s="763"/>
      <c r="AO59" s="780"/>
      <c r="AP59" s="898">
        <f t="shared" si="21"/>
        <v>0</v>
      </c>
      <c r="AQ59" s="896"/>
      <c r="AR59" s="896"/>
      <c r="AS59" s="780"/>
      <c r="AT59" s="780"/>
      <c r="AU59" s="780"/>
      <c r="AV59" s="780"/>
      <c r="AW59" s="780"/>
      <c r="AX59" s="780"/>
      <c r="AY59" s="780"/>
      <c r="AZ59" s="780"/>
      <c r="BA59" s="780"/>
      <c r="BD59" s="334"/>
    </row>
    <row r="60" spans="1:56" x14ac:dyDescent="0.2">
      <c r="A60" s="346"/>
      <c r="B60" s="347"/>
      <c r="C60" s="348"/>
      <c r="D60" s="349"/>
      <c r="E60" s="349"/>
      <c r="F60" s="350"/>
      <c r="G60" s="1211">
        <f t="shared" si="5"/>
        <v>0</v>
      </c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1212">
        <f t="shared" si="27"/>
        <v>0</v>
      </c>
      <c r="S60" s="1213">
        <f t="shared" si="28"/>
        <v>0</v>
      </c>
      <c r="T60" s="341"/>
      <c r="U60" s="381">
        <f t="shared" si="6"/>
        <v>0</v>
      </c>
      <c r="V60" s="342">
        <f t="shared" si="7"/>
        <v>0</v>
      </c>
      <c r="W60" s="342">
        <f t="shared" si="8"/>
        <v>0</v>
      </c>
      <c r="X60" s="342">
        <f t="shared" si="9"/>
        <v>0</v>
      </c>
      <c r="Y60" s="382">
        <f t="shared" si="10"/>
        <v>0</v>
      </c>
      <c r="Z60" s="343">
        <f t="shared" si="11"/>
        <v>0</v>
      </c>
      <c r="AA60" s="343">
        <f t="shared" si="12"/>
        <v>0</v>
      </c>
      <c r="AB60" s="343">
        <f t="shared" si="13"/>
        <v>0</v>
      </c>
      <c r="AC60" s="383">
        <f t="shared" si="14"/>
        <v>0</v>
      </c>
      <c r="AD60" s="344">
        <f t="shared" si="15"/>
        <v>0</v>
      </c>
      <c r="AE60" s="344">
        <f t="shared" si="16"/>
        <v>0</v>
      </c>
      <c r="AF60" s="344">
        <f t="shared" si="17"/>
        <v>0</v>
      </c>
      <c r="AG60" s="345">
        <f t="shared" si="18"/>
        <v>0</v>
      </c>
      <c r="AH60" s="345">
        <f t="shared" si="19"/>
        <v>0</v>
      </c>
      <c r="AI60" s="345">
        <f t="shared" si="20"/>
        <v>0</v>
      </c>
      <c r="AJ60" s="306">
        <f t="shared" si="29"/>
        <v>0</v>
      </c>
      <c r="AK60" s="306">
        <f t="shared" si="30"/>
        <v>0</v>
      </c>
      <c r="AL60" s="306">
        <f t="shared" si="31"/>
        <v>0</v>
      </c>
      <c r="AM60" s="749"/>
      <c r="AN60" s="763"/>
      <c r="AO60" s="780"/>
      <c r="AP60" s="898">
        <f t="shared" si="21"/>
        <v>0</v>
      </c>
      <c r="AQ60" s="896"/>
      <c r="AR60" s="896"/>
      <c r="AS60" s="780"/>
      <c r="AT60" s="780"/>
      <c r="AU60" s="780"/>
      <c r="AV60" s="780"/>
      <c r="AW60" s="780"/>
      <c r="AX60" s="780"/>
      <c r="AY60" s="780"/>
      <c r="AZ60" s="780"/>
      <c r="BA60" s="780"/>
      <c r="BD60" s="334"/>
    </row>
    <row r="61" spans="1:56" x14ac:dyDescent="0.2">
      <c r="A61" s="346"/>
      <c r="B61" s="347"/>
      <c r="C61" s="348"/>
      <c r="D61" s="349"/>
      <c r="E61" s="349"/>
      <c r="F61" s="350"/>
      <c r="G61" s="1211">
        <f t="shared" si="5"/>
        <v>0</v>
      </c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1212">
        <f t="shared" si="27"/>
        <v>0</v>
      </c>
      <c r="S61" s="1213">
        <f t="shared" si="28"/>
        <v>0</v>
      </c>
      <c r="T61" s="341"/>
      <c r="U61" s="381">
        <f t="shared" si="6"/>
        <v>0</v>
      </c>
      <c r="V61" s="342">
        <f t="shared" si="7"/>
        <v>0</v>
      </c>
      <c r="W61" s="342">
        <f t="shared" si="8"/>
        <v>0</v>
      </c>
      <c r="X61" s="342">
        <f t="shared" si="9"/>
        <v>0</v>
      </c>
      <c r="Y61" s="382">
        <f t="shared" si="10"/>
        <v>0</v>
      </c>
      <c r="Z61" s="343">
        <f t="shared" si="11"/>
        <v>0</v>
      </c>
      <c r="AA61" s="343">
        <f t="shared" si="12"/>
        <v>0</v>
      </c>
      <c r="AB61" s="343">
        <f t="shared" si="13"/>
        <v>0</v>
      </c>
      <c r="AC61" s="383">
        <f t="shared" si="14"/>
        <v>0</v>
      </c>
      <c r="AD61" s="344">
        <f t="shared" si="15"/>
        <v>0</v>
      </c>
      <c r="AE61" s="344">
        <f t="shared" si="16"/>
        <v>0</v>
      </c>
      <c r="AF61" s="344">
        <f t="shared" si="17"/>
        <v>0</v>
      </c>
      <c r="AG61" s="345">
        <f t="shared" si="18"/>
        <v>0</v>
      </c>
      <c r="AH61" s="345">
        <f t="shared" si="19"/>
        <v>0</v>
      </c>
      <c r="AI61" s="345">
        <f t="shared" si="20"/>
        <v>0</v>
      </c>
      <c r="AJ61" s="306">
        <f t="shared" si="29"/>
        <v>0</v>
      </c>
      <c r="AK61" s="306">
        <f t="shared" si="30"/>
        <v>0</v>
      </c>
      <c r="AL61" s="306">
        <f t="shared" si="31"/>
        <v>0</v>
      </c>
      <c r="AM61" s="749"/>
      <c r="AN61" s="763"/>
      <c r="AO61" s="780"/>
      <c r="AP61" s="898">
        <f t="shared" si="21"/>
        <v>0</v>
      </c>
      <c r="AQ61" s="896"/>
      <c r="AR61" s="896"/>
      <c r="AS61" s="780"/>
      <c r="AT61" s="780"/>
      <c r="AU61" s="780"/>
      <c r="AV61" s="780"/>
      <c r="AW61" s="780"/>
      <c r="AX61" s="780"/>
      <c r="AY61" s="780"/>
      <c r="AZ61" s="780"/>
      <c r="BA61" s="780"/>
      <c r="BD61" s="334"/>
    </row>
    <row r="62" spans="1:56" x14ac:dyDescent="0.2">
      <c r="A62" s="346"/>
      <c r="B62" s="347"/>
      <c r="C62" s="348"/>
      <c r="D62" s="349"/>
      <c r="E62" s="349"/>
      <c r="F62" s="350"/>
      <c r="G62" s="1211">
        <f t="shared" si="5"/>
        <v>0</v>
      </c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1212">
        <f t="shared" si="27"/>
        <v>0</v>
      </c>
      <c r="S62" s="1213">
        <f t="shared" si="28"/>
        <v>0</v>
      </c>
      <c r="T62" s="341"/>
      <c r="U62" s="381">
        <f t="shared" si="6"/>
        <v>0</v>
      </c>
      <c r="V62" s="342">
        <f t="shared" si="7"/>
        <v>0</v>
      </c>
      <c r="W62" s="342">
        <f t="shared" si="8"/>
        <v>0</v>
      </c>
      <c r="X62" s="342">
        <f t="shared" si="9"/>
        <v>0</v>
      </c>
      <c r="Y62" s="382">
        <f t="shared" si="10"/>
        <v>0</v>
      </c>
      <c r="Z62" s="343">
        <f t="shared" si="11"/>
        <v>0</v>
      </c>
      <c r="AA62" s="343">
        <f t="shared" si="12"/>
        <v>0</v>
      </c>
      <c r="AB62" s="343">
        <f t="shared" si="13"/>
        <v>0</v>
      </c>
      <c r="AC62" s="383">
        <f t="shared" si="14"/>
        <v>0</v>
      </c>
      <c r="AD62" s="344">
        <f t="shared" si="15"/>
        <v>0</v>
      </c>
      <c r="AE62" s="344">
        <f t="shared" si="16"/>
        <v>0</v>
      </c>
      <c r="AF62" s="344">
        <f t="shared" si="17"/>
        <v>0</v>
      </c>
      <c r="AG62" s="345">
        <f t="shared" si="18"/>
        <v>0</v>
      </c>
      <c r="AH62" s="345">
        <f t="shared" si="19"/>
        <v>0</v>
      </c>
      <c r="AI62" s="345">
        <f t="shared" si="20"/>
        <v>0</v>
      </c>
      <c r="AJ62" s="306">
        <f t="shared" si="29"/>
        <v>0</v>
      </c>
      <c r="AK62" s="306">
        <f t="shared" si="30"/>
        <v>0</v>
      </c>
      <c r="AL62" s="306">
        <f t="shared" si="31"/>
        <v>0</v>
      </c>
      <c r="AM62" s="749"/>
      <c r="AN62" s="763"/>
      <c r="AO62" s="780"/>
      <c r="AP62" s="898">
        <f t="shared" si="21"/>
        <v>0</v>
      </c>
      <c r="AQ62" s="896"/>
      <c r="AR62" s="896"/>
      <c r="AS62" s="780"/>
      <c r="AT62" s="780"/>
      <c r="AU62" s="780"/>
      <c r="AV62" s="780"/>
      <c r="AW62" s="780"/>
      <c r="AX62" s="780"/>
      <c r="AY62" s="780"/>
      <c r="AZ62" s="780"/>
      <c r="BA62" s="780"/>
      <c r="BD62" s="334"/>
    </row>
    <row r="63" spans="1:56" x14ac:dyDescent="0.2">
      <c r="A63" s="346"/>
      <c r="B63" s="347"/>
      <c r="C63" s="348"/>
      <c r="D63" s="349"/>
      <c r="E63" s="349"/>
      <c r="F63" s="350"/>
      <c r="G63" s="1211">
        <f t="shared" si="5"/>
        <v>0</v>
      </c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1212">
        <f t="shared" si="27"/>
        <v>0</v>
      </c>
      <c r="S63" s="1213">
        <f t="shared" si="28"/>
        <v>0</v>
      </c>
      <c r="T63" s="341"/>
      <c r="U63" s="381">
        <f t="shared" si="6"/>
        <v>0</v>
      </c>
      <c r="V63" s="342">
        <f t="shared" si="7"/>
        <v>0</v>
      </c>
      <c r="W63" s="342">
        <f t="shared" si="8"/>
        <v>0</v>
      </c>
      <c r="X63" s="342">
        <f t="shared" si="9"/>
        <v>0</v>
      </c>
      <c r="Y63" s="382">
        <f t="shared" si="10"/>
        <v>0</v>
      </c>
      <c r="Z63" s="343">
        <f t="shared" si="11"/>
        <v>0</v>
      </c>
      <c r="AA63" s="343">
        <f t="shared" si="12"/>
        <v>0</v>
      </c>
      <c r="AB63" s="343">
        <f t="shared" si="13"/>
        <v>0</v>
      </c>
      <c r="AC63" s="383">
        <f t="shared" si="14"/>
        <v>0</v>
      </c>
      <c r="AD63" s="344">
        <f t="shared" si="15"/>
        <v>0</v>
      </c>
      <c r="AE63" s="344">
        <f t="shared" si="16"/>
        <v>0</v>
      </c>
      <c r="AF63" s="344">
        <f t="shared" si="17"/>
        <v>0</v>
      </c>
      <c r="AG63" s="345">
        <f t="shared" si="18"/>
        <v>0</v>
      </c>
      <c r="AH63" s="345">
        <f t="shared" si="19"/>
        <v>0</v>
      </c>
      <c r="AI63" s="345">
        <f t="shared" si="20"/>
        <v>0</v>
      </c>
      <c r="AJ63" s="306">
        <f t="shared" si="29"/>
        <v>0</v>
      </c>
      <c r="AK63" s="306">
        <f t="shared" si="30"/>
        <v>0</v>
      </c>
      <c r="AL63" s="306">
        <f t="shared" si="31"/>
        <v>0</v>
      </c>
      <c r="AM63" s="749"/>
      <c r="AN63" s="763"/>
      <c r="AO63" s="780"/>
      <c r="AP63" s="898">
        <f t="shared" si="21"/>
        <v>0</v>
      </c>
      <c r="AQ63" s="896"/>
      <c r="AR63" s="896"/>
      <c r="AS63" s="780"/>
      <c r="AT63" s="780"/>
      <c r="AU63" s="780"/>
      <c r="AV63" s="780"/>
      <c r="AW63" s="780"/>
      <c r="AX63" s="780"/>
      <c r="AY63" s="780"/>
      <c r="AZ63" s="780"/>
      <c r="BA63" s="780"/>
      <c r="BD63" s="334"/>
    </row>
    <row r="64" spans="1:56" x14ac:dyDescent="0.2">
      <c r="A64" s="346"/>
      <c r="B64" s="347"/>
      <c r="C64" s="348"/>
      <c r="D64" s="349"/>
      <c r="E64" s="349"/>
      <c r="F64" s="350"/>
      <c r="G64" s="1211">
        <f t="shared" si="5"/>
        <v>0</v>
      </c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1212">
        <f t="shared" si="27"/>
        <v>0</v>
      </c>
      <c r="S64" s="1213">
        <f t="shared" si="28"/>
        <v>0</v>
      </c>
      <c r="T64" s="341"/>
      <c r="U64" s="381">
        <f t="shared" si="6"/>
        <v>0</v>
      </c>
      <c r="V64" s="342">
        <f t="shared" si="7"/>
        <v>0</v>
      </c>
      <c r="W64" s="342">
        <f t="shared" si="8"/>
        <v>0</v>
      </c>
      <c r="X64" s="342">
        <f t="shared" si="9"/>
        <v>0</v>
      </c>
      <c r="Y64" s="382">
        <f t="shared" si="10"/>
        <v>0</v>
      </c>
      <c r="Z64" s="343">
        <f t="shared" si="11"/>
        <v>0</v>
      </c>
      <c r="AA64" s="343">
        <f t="shared" si="12"/>
        <v>0</v>
      </c>
      <c r="AB64" s="343">
        <f t="shared" si="13"/>
        <v>0</v>
      </c>
      <c r="AC64" s="383">
        <f t="shared" si="14"/>
        <v>0</v>
      </c>
      <c r="AD64" s="344">
        <f t="shared" si="15"/>
        <v>0</v>
      </c>
      <c r="AE64" s="344">
        <f t="shared" si="16"/>
        <v>0</v>
      </c>
      <c r="AF64" s="344">
        <f t="shared" si="17"/>
        <v>0</v>
      </c>
      <c r="AG64" s="345">
        <f t="shared" si="18"/>
        <v>0</v>
      </c>
      <c r="AH64" s="345">
        <f t="shared" si="19"/>
        <v>0</v>
      </c>
      <c r="AI64" s="345">
        <f t="shared" si="20"/>
        <v>0</v>
      </c>
      <c r="AJ64" s="306">
        <f t="shared" si="29"/>
        <v>0</v>
      </c>
      <c r="AK64" s="306">
        <f t="shared" si="30"/>
        <v>0</v>
      </c>
      <c r="AL64" s="306">
        <f t="shared" si="31"/>
        <v>0</v>
      </c>
      <c r="AM64" s="749"/>
      <c r="AN64" s="763"/>
      <c r="AO64" s="780"/>
      <c r="AP64" s="898">
        <f t="shared" si="21"/>
        <v>0</v>
      </c>
      <c r="AQ64" s="896"/>
      <c r="AR64" s="896"/>
      <c r="AS64" s="780"/>
      <c r="AT64" s="780"/>
      <c r="AU64" s="780"/>
      <c r="AV64" s="780"/>
      <c r="AW64" s="780"/>
      <c r="AX64" s="780"/>
      <c r="AY64" s="780"/>
      <c r="AZ64" s="780"/>
      <c r="BA64" s="780"/>
      <c r="BD64" s="334"/>
    </row>
    <row r="65" spans="1:59" x14ac:dyDescent="0.2">
      <c r="A65" s="346"/>
      <c r="B65" s="347"/>
      <c r="C65" s="348"/>
      <c r="D65" s="349"/>
      <c r="E65" s="349"/>
      <c r="F65" s="350"/>
      <c r="G65" s="1211">
        <f t="shared" si="5"/>
        <v>0</v>
      </c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1212">
        <f t="shared" si="27"/>
        <v>0</v>
      </c>
      <c r="S65" s="1213">
        <f t="shared" si="28"/>
        <v>0</v>
      </c>
      <c r="T65" s="341"/>
      <c r="U65" s="381">
        <f t="shared" si="6"/>
        <v>0</v>
      </c>
      <c r="V65" s="342">
        <f t="shared" si="7"/>
        <v>0</v>
      </c>
      <c r="W65" s="342">
        <f t="shared" si="8"/>
        <v>0</v>
      </c>
      <c r="X65" s="342">
        <f t="shared" si="9"/>
        <v>0</v>
      </c>
      <c r="Y65" s="382">
        <f t="shared" si="10"/>
        <v>0</v>
      </c>
      <c r="Z65" s="343">
        <f t="shared" si="11"/>
        <v>0</v>
      </c>
      <c r="AA65" s="343">
        <f t="shared" si="12"/>
        <v>0</v>
      </c>
      <c r="AB65" s="343">
        <f t="shared" si="13"/>
        <v>0</v>
      </c>
      <c r="AC65" s="383">
        <f t="shared" si="14"/>
        <v>0</v>
      </c>
      <c r="AD65" s="344">
        <f t="shared" si="15"/>
        <v>0</v>
      </c>
      <c r="AE65" s="344">
        <f t="shared" si="16"/>
        <v>0</v>
      </c>
      <c r="AF65" s="344">
        <f t="shared" si="17"/>
        <v>0</v>
      </c>
      <c r="AG65" s="345">
        <f t="shared" si="18"/>
        <v>0</v>
      </c>
      <c r="AH65" s="345">
        <f t="shared" si="19"/>
        <v>0</v>
      </c>
      <c r="AI65" s="345">
        <f t="shared" si="20"/>
        <v>0</v>
      </c>
      <c r="AJ65" s="306">
        <f t="shared" si="29"/>
        <v>0</v>
      </c>
      <c r="AK65" s="306">
        <f t="shared" si="30"/>
        <v>0</v>
      </c>
      <c r="AL65" s="306">
        <f t="shared" si="31"/>
        <v>0</v>
      </c>
      <c r="AM65" s="749"/>
      <c r="AN65" s="763"/>
      <c r="AO65" s="780"/>
      <c r="AP65" s="898">
        <f t="shared" si="21"/>
        <v>0</v>
      </c>
      <c r="AQ65" s="896"/>
      <c r="AR65" s="896"/>
      <c r="AS65" s="780"/>
      <c r="AT65" s="780"/>
      <c r="AU65" s="780"/>
      <c r="AV65" s="780"/>
      <c r="AW65" s="780"/>
      <c r="AX65" s="780"/>
      <c r="AY65" s="780"/>
      <c r="AZ65" s="780"/>
      <c r="BA65" s="780"/>
      <c r="BD65" s="334"/>
    </row>
    <row r="66" spans="1:59" x14ac:dyDescent="0.2">
      <c r="A66" s="346"/>
      <c r="B66" s="347"/>
      <c r="C66" s="348"/>
      <c r="D66" s="349"/>
      <c r="E66" s="349"/>
      <c r="F66" s="350"/>
      <c r="G66" s="1211">
        <f t="shared" si="5"/>
        <v>0</v>
      </c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1212">
        <f t="shared" si="27"/>
        <v>0</v>
      </c>
      <c r="S66" s="1213">
        <f t="shared" si="28"/>
        <v>0</v>
      </c>
      <c r="T66" s="341"/>
      <c r="U66" s="381">
        <f t="shared" si="6"/>
        <v>0</v>
      </c>
      <c r="V66" s="342">
        <f t="shared" si="7"/>
        <v>0</v>
      </c>
      <c r="W66" s="342">
        <f t="shared" si="8"/>
        <v>0</v>
      </c>
      <c r="X66" s="342">
        <f t="shared" si="9"/>
        <v>0</v>
      </c>
      <c r="Y66" s="382">
        <f t="shared" si="10"/>
        <v>0</v>
      </c>
      <c r="Z66" s="343">
        <f t="shared" si="11"/>
        <v>0</v>
      </c>
      <c r="AA66" s="343">
        <f t="shared" si="12"/>
        <v>0</v>
      </c>
      <c r="AB66" s="343">
        <f t="shared" si="13"/>
        <v>0</v>
      </c>
      <c r="AC66" s="383">
        <f t="shared" si="14"/>
        <v>0</v>
      </c>
      <c r="AD66" s="344">
        <f t="shared" si="15"/>
        <v>0</v>
      </c>
      <c r="AE66" s="344">
        <f t="shared" si="16"/>
        <v>0</v>
      </c>
      <c r="AF66" s="344">
        <f t="shared" si="17"/>
        <v>0</v>
      </c>
      <c r="AG66" s="345">
        <f t="shared" si="18"/>
        <v>0</v>
      </c>
      <c r="AH66" s="345">
        <f t="shared" si="19"/>
        <v>0</v>
      </c>
      <c r="AI66" s="345">
        <f t="shared" si="20"/>
        <v>0</v>
      </c>
      <c r="AJ66" s="306">
        <f t="shared" si="29"/>
        <v>0</v>
      </c>
      <c r="AK66" s="306">
        <f t="shared" si="30"/>
        <v>0</v>
      </c>
      <c r="AL66" s="306">
        <f t="shared" si="31"/>
        <v>0</v>
      </c>
      <c r="AM66" s="749"/>
      <c r="AN66" s="763"/>
      <c r="AO66" s="780"/>
      <c r="AP66" s="898">
        <f t="shared" si="21"/>
        <v>0</v>
      </c>
      <c r="AQ66" s="896"/>
      <c r="AR66" s="896"/>
      <c r="AS66" s="780"/>
      <c r="AT66" s="780"/>
      <c r="AU66" s="780"/>
      <c r="AV66" s="780"/>
      <c r="AW66" s="780"/>
      <c r="AX66" s="780"/>
      <c r="AY66" s="780"/>
      <c r="AZ66" s="780"/>
      <c r="BA66" s="780"/>
      <c r="BD66" s="334"/>
    </row>
    <row r="67" spans="1:59" x14ac:dyDescent="0.2">
      <c r="A67" s="346"/>
      <c r="B67" s="347"/>
      <c r="C67" s="348"/>
      <c r="D67" s="349"/>
      <c r="E67" s="349"/>
      <c r="F67" s="350"/>
      <c r="G67" s="1211">
        <f t="shared" si="5"/>
        <v>0</v>
      </c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1212">
        <f t="shared" si="27"/>
        <v>0</v>
      </c>
      <c r="S67" s="1213">
        <f t="shared" si="28"/>
        <v>0</v>
      </c>
      <c r="T67" s="341"/>
      <c r="U67" s="381">
        <f t="shared" si="6"/>
        <v>0</v>
      </c>
      <c r="V67" s="342">
        <f t="shared" si="7"/>
        <v>0</v>
      </c>
      <c r="W67" s="342">
        <f t="shared" si="8"/>
        <v>0</v>
      </c>
      <c r="X67" s="342">
        <f t="shared" si="9"/>
        <v>0</v>
      </c>
      <c r="Y67" s="382">
        <f t="shared" si="10"/>
        <v>0</v>
      </c>
      <c r="Z67" s="343">
        <f t="shared" si="11"/>
        <v>0</v>
      </c>
      <c r="AA67" s="343">
        <f t="shared" si="12"/>
        <v>0</v>
      </c>
      <c r="AB67" s="343">
        <f t="shared" si="13"/>
        <v>0</v>
      </c>
      <c r="AC67" s="383">
        <f t="shared" si="14"/>
        <v>0</v>
      </c>
      <c r="AD67" s="344">
        <f t="shared" si="15"/>
        <v>0</v>
      </c>
      <c r="AE67" s="344">
        <f t="shared" si="16"/>
        <v>0</v>
      </c>
      <c r="AF67" s="344">
        <f t="shared" si="17"/>
        <v>0</v>
      </c>
      <c r="AG67" s="345">
        <f t="shared" si="18"/>
        <v>0</v>
      </c>
      <c r="AH67" s="345">
        <f t="shared" si="19"/>
        <v>0</v>
      </c>
      <c r="AI67" s="345">
        <f t="shared" si="20"/>
        <v>0</v>
      </c>
      <c r="AJ67" s="306">
        <f t="shared" si="29"/>
        <v>0</v>
      </c>
      <c r="AK67" s="306">
        <f t="shared" si="30"/>
        <v>0</v>
      </c>
      <c r="AL67" s="306">
        <f t="shared" si="31"/>
        <v>0</v>
      </c>
      <c r="AM67" s="749"/>
      <c r="AN67" s="763"/>
      <c r="AO67" s="780"/>
      <c r="AP67" s="898">
        <f t="shared" si="21"/>
        <v>0</v>
      </c>
      <c r="AQ67" s="896"/>
      <c r="AR67" s="896"/>
      <c r="AS67" s="780"/>
      <c r="AT67" s="780"/>
      <c r="AU67" s="780"/>
      <c r="AV67" s="780"/>
      <c r="AW67" s="780"/>
      <c r="AX67" s="780"/>
      <c r="AY67" s="780"/>
      <c r="AZ67" s="780"/>
      <c r="BA67" s="780"/>
      <c r="BD67" s="334"/>
    </row>
    <row r="68" spans="1:59" x14ac:dyDescent="0.2">
      <c r="A68" s="346"/>
      <c r="B68" s="347"/>
      <c r="C68" s="348"/>
      <c r="D68" s="349"/>
      <c r="E68" s="349"/>
      <c r="F68" s="350"/>
      <c r="G68" s="1211">
        <f t="shared" si="5"/>
        <v>0</v>
      </c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1212">
        <f t="shared" si="27"/>
        <v>0</v>
      </c>
      <c r="S68" s="1213">
        <f t="shared" si="28"/>
        <v>0</v>
      </c>
      <c r="T68" s="341"/>
      <c r="U68" s="381">
        <f t="shared" si="6"/>
        <v>0</v>
      </c>
      <c r="V68" s="342">
        <f t="shared" si="7"/>
        <v>0</v>
      </c>
      <c r="W68" s="342">
        <f t="shared" si="8"/>
        <v>0</v>
      </c>
      <c r="X68" s="342">
        <f t="shared" si="9"/>
        <v>0</v>
      </c>
      <c r="Y68" s="382">
        <f t="shared" si="10"/>
        <v>0</v>
      </c>
      <c r="Z68" s="343">
        <f t="shared" si="11"/>
        <v>0</v>
      </c>
      <c r="AA68" s="343">
        <f t="shared" si="12"/>
        <v>0</v>
      </c>
      <c r="AB68" s="343">
        <f t="shared" si="13"/>
        <v>0</v>
      </c>
      <c r="AC68" s="383">
        <f t="shared" si="14"/>
        <v>0</v>
      </c>
      <c r="AD68" s="344">
        <f t="shared" si="15"/>
        <v>0</v>
      </c>
      <c r="AE68" s="344">
        <f t="shared" si="16"/>
        <v>0</v>
      </c>
      <c r="AF68" s="344">
        <f t="shared" si="17"/>
        <v>0</v>
      </c>
      <c r="AG68" s="345">
        <f t="shared" si="18"/>
        <v>0</v>
      </c>
      <c r="AH68" s="345">
        <f t="shared" si="19"/>
        <v>0</v>
      </c>
      <c r="AI68" s="345">
        <f t="shared" si="20"/>
        <v>0</v>
      </c>
      <c r="AJ68" s="306">
        <f t="shared" si="29"/>
        <v>0</v>
      </c>
      <c r="AK68" s="306">
        <f t="shared" si="30"/>
        <v>0</v>
      </c>
      <c r="AL68" s="306">
        <f t="shared" si="31"/>
        <v>0</v>
      </c>
      <c r="AM68" s="749"/>
      <c r="AN68" s="763"/>
      <c r="AO68" s="780"/>
      <c r="AP68" s="898">
        <f t="shared" si="21"/>
        <v>0</v>
      </c>
      <c r="AQ68" s="896"/>
      <c r="AR68" s="896"/>
      <c r="AS68" s="780"/>
      <c r="AT68" s="780"/>
      <c r="AU68" s="780"/>
      <c r="AV68" s="780"/>
      <c r="AW68" s="780"/>
      <c r="AX68" s="780"/>
      <c r="AY68" s="780"/>
      <c r="AZ68" s="780"/>
      <c r="BA68" s="780"/>
      <c r="BD68" s="334"/>
    </row>
    <row r="69" spans="1:59" x14ac:dyDescent="0.2">
      <c r="A69" s="346"/>
      <c r="B69" s="347"/>
      <c r="C69" s="348"/>
      <c r="D69" s="349"/>
      <c r="E69" s="349"/>
      <c r="F69" s="350"/>
      <c r="G69" s="1211">
        <f t="shared" si="5"/>
        <v>0</v>
      </c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1212">
        <f t="shared" si="27"/>
        <v>0</v>
      </c>
      <c r="S69" s="1213">
        <f t="shared" si="28"/>
        <v>0</v>
      </c>
      <c r="T69" s="341"/>
      <c r="U69" s="381">
        <f t="shared" si="6"/>
        <v>0</v>
      </c>
      <c r="V69" s="342">
        <f t="shared" si="7"/>
        <v>0</v>
      </c>
      <c r="W69" s="342">
        <f t="shared" si="8"/>
        <v>0</v>
      </c>
      <c r="X69" s="342">
        <f t="shared" si="9"/>
        <v>0</v>
      </c>
      <c r="Y69" s="382">
        <f t="shared" si="10"/>
        <v>0</v>
      </c>
      <c r="Z69" s="343">
        <f t="shared" si="11"/>
        <v>0</v>
      </c>
      <c r="AA69" s="343">
        <f t="shared" si="12"/>
        <v>0</v>
      </c>
      <c r="AB69" s="343">
        <f t="shared" si="13"/>
        <v>0</v>
      </c>
      <c r="AC69" s="383">
        <f t="shared" si="14"/>
        <v>0</v>
      </c>
      <c r="AD69" s="344">
        <f t="shared" si="15"/>
        <v>0</v>
      </c>
      <c r="AE69" s="344">
        <f t="shared" si="16"/>
        <v>0</v>
      </c>
      <c r="AF69" s="344">
        <f t="shared" si="17"/>
        <v>0</v>
      </c>
      <c r="AG69" s="345">
        <f t="shared" si="18"/>
        <v>0</v>
      </c>
      <c r="AH69" s="345">
        <f t="shared" si="19"/>
        <v>0</v>
      </c>
      <c r="AI69" s="345">
        <f t="shared" si="20"/>
        <v>0</v>
      </c>
      <c r="AJ69" s="306">
        <f t="shared" si="29"/>
        <v>0</v>
      </c>
      <c r="AK69" s="306">
        <f t="shared" si="30"/>
        <v>0</v>
      </c>
      <c r="AL69" s="306">
        <f t="shared" si="31"/>
        <v>0</v>
      </c>
      <c r="AM69" s="749"/>
      <c r="AN69" s="763"/>
      <c r="AO69" s="780"/>
      <c r="AP69" s="898">
        <f t="shared" si="21"/>
        <v>0</v>
      </c>
      <c r="AQ69" s="896"/>
      <c r="AR69" s="896"/>
      <c r="AS69" s="780"/>
      <c r="AT69" s="780"/>
      <c r="AU69" s="780"/>
      <c r="AV69" s="780"/>
      <c r="AW69" s="780"/>
      <c r="AX69" s="780"/>
      <c r="AY69" s="780"/>
      <c r="AZ69" s="780"/>
      <c r="BA69" s="780"/>
      <c r="BD69" s="334"/>
    </row>
    <row r="70" spans="1:59" x14ac:dyDescent="0.2">
      <c r="A70" s="346"/>
      <c r="B70" s="347"/>
      <c r="C70" s="348"/>
      <c r="D70" s="349"/>
      <c r="E70" s="349"/>
      <c r="F70" s="350"/>
      <c r="G70" s="1211">
        <f t="shared" si="5"/>
        <v>0</v>
      </c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1212">
        <f t="shared" si="27"/>
        <v>0</v>
      </c>
      <c r="S70" s="1213">
        <f t="shared" si="28"/>
        <v>0</v>
      </c>
      <c r="T70" s="341"/>
      <c r="U70" s="381">
        <f t="shared" si="6"/>
        <v>0</v>
      </c>
      <c r="V70" s="342">
        <f t="shared" si="7"/>
        <v>0</v>
      </c>
      <c r="W70" s="342">
        <f t="shared" si="8"/>
        <v>0</v>
      </c>
      <c r="X70" s="342">
        <f t="shared" si="9"/>
        <v>0</v>
      </c>
      <c r="Y70" s="382">
        <f t="shared" si="10"/>
        <v>0</v>
      </c>
      <c r="Z70" s="343">
        <f t="shared" si="11"/>
        <v>0</v>
      </c>
      <c r="AA70" s="343">
        <f t="shared" si="12"/>
        <v>0</v>
      </c>
      <c r="AB70" s="343">
        <f t="shared" si="13"/>
        <v>0</v>
      </c>
      <c r="AC70" s="383">
        <f t="shared" si="14"/>
        <v>0</v>
      </c>
      <c r="AD70" s="344">
        <f t="shared" si="15"/>
        <v>0</v>
      </c>
      <c r="AE70" s="344">
        <f t="shared" si="16"/>
        <v>0</v>
      </c>
      <c r="AF70" s="344">
        <f t="shared" si="17"/>
        <v>0</v>
      </c>
      <c r="AG70" s="345">
        <f t="shared" si="18"/>
        <v>0</v>
      </c>
      <c r="AH70" s="345">
        <f t="shared" si="19"/>
        <v>0</v>
      </c>
      <c r="AI70" s="345">
        <f t="shared" si="20"/>
        <v>0</v>
      </c>
      <c r="AJ70" s="306">
        <f t="shared" si="29"/>
        <v>0</v>
      </c>
      <c r="AK70" s="306">
        <f t="shared" si="30"/>
        <v>0</v>
      </c>
      <c r="AL70" s="306">
        <f t="shared" si="31"/>
        <v>0</v>
      </c>
      <c r="AM70" s="749"/>
      <c r="AN70" s="763"/>
      <c r="AO70" s="780"/>
      <c r="AP70" s="898">
        <f t="shared" si="21"/>
        <v>0</v>
      </c>
      <c r="AQ70" s="896"/>
      <c r="AR70" s="896"/>
      <c r="AS70" s="780"/>
      <c r="AT70" s="780"/>
      <c r="AU70" s="780"/>
      <c r="AV70" s="780"/>
      <c r="AW70" s="780"/>
      <c r="AX70" s="780"/>
      <c r="AY70" s="780"/>
      <c r="AZ70" s="780"/>
      <c r="BA70" s="780"/>
      <c r="BD70" s="334"/>
    </row>
    <row r="71" spans="1:59" x14ac:dyDescent="0.2">
      <c r="A71" s="346"/>
      <c r="B71" s="347"/>
      <c r="C71" s="348"/>
      <c r="D71" s="349"/>
      <c r="E71" s="349"/>
      <c r="F71" s="350"/>
      <c r="G71" s="1211">
        <f t="shared" si="5"/>
        <v>0</v>
      </c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1212">
        <f t="shared" si="27"/>
        <v>0</v>
      </c>
      <c r="S71" s="1213">
        <f t="shared" si="28"/>
        <v>0</v>
      </c>
      <c r="T71" s="341"/>
      <c r="U71" s="381">
        <f t="shared" si="6"/>
        <v>0</v>
      </c>
      <c r="V71" s="342">
        <f t="shared" si="7"/>
        <v>0</v>
      </c>
      <c r="W71" s="342">
        <f t="shared" si="8"/>
        <v>0</v>
      </c>
      <c r="X71" s="342">
        <f t="shared" si="9"/>
        <v>0</v>
      </c>
      <c r="Y71" s="382">
        <f t="shared" si="10"/>
        <v>0</v>
      </c>
      <c r="Z71" s="343">
        <f t="shared" si="11"/>
        <v>0</v>
      </c>
      <c r="AA71" s="343">
        <f t="shared" si="12"/>
        <v>0</v>
      </c>
      <c r="AB71" s="343">
        <f t="shared" si="13"/>
        <v>0</v>
      </c>
      <c r="AC71" s="383">
        <f t="shared" si="14"/>
        <v>0</v>
      </c>
      <c r="AD71" s="344">
        <f t="shared" si="15"/>
        <v>0</v>
      </c>
      <c r="AE71" s="344">
        <f t="shared" si="16"/>
        <v>0</v>
      </c>
      <c r="AF71" s="344">
        <f t="shared" si="17"/>
        <v>0</v>
      </c>
      <c r="AG71" s="345">
        <f t="shared" si="18"/>
        <v>0</v>
      </c>
      <c r="AH71" s="345">
        <f t="shared" si="19"/>
        <v>0</v>
      </c>
      <c r="AI71" s="345">
        <f t="shared" si="20"/>
        <v>0</v>
      </c>
      <c r="AJ71" s="306">
        <f t="shared" si="29"/>
        <v>0</v>
      </c>
      <c r="AK71" s="306">
        <f t="shared" si="30"/>
        <v>0</v>
      </c>
      <c r="AL71" s="306">
        <f t="shared" si="31"/>
        <v>0</v>
      </c>
      <c r="AM71" s="749"/>
      <c r="AN71" s="763"/>
      <c r="AO71" s="780"/>
      <c r="AP71" s="898">
        <f t="shared" si="21"/>
        <v>0</v>
      </c>
      <c r="AQ71" s="896"/>
      <c r="AR71" s="896"/>
      <c r="AS71" s="780"/>
      <c r="AT71" s="780"/>
      <c r="AU71" s="780"/>
      <c r="AV71" s="780"/>
      <c r="AW71" s="780"/>
      <c r="AX71" s="780"/>
      <c r="AY71" s="780"/>
      <c r="AZ71" s="780"/>
      <c r="BA71" s="780"/>
      <c r="BD71" s="334"/>
    </row>
    <row r="72" spans="1:59" x14ac:dyDescent="0.2">
      <c r="A72" s="346"/>
      <c r="B72" s="347"/>
      <c r="C72" s="348"/>
      <c r="D72" s="349"/>
      <c r="E72" s="349"/>
      <c r="F72" s="350"/>
      <c r="G72" s="1211">
        <f t="shared" si="5"/>
        <v>0</v>
      </c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1212">
        <f t="shared" si="27"/>
        <v>0</v>
      </c>
      <c r="S72" s="1213">
        <f t="shared" si="28"/>
        <v>0</v>
      </c>
      <c r="T72" s="341"/>
      <c r="U72" s="381">
        <f t="shared" si="6"/>
        <v>0</v>
      </c>
      <c r="V72" s="342">
        <f t="shared" si="7"/>
        <v>0</v>
      </c>
      <c r="W72" s="342">
        <f t="shared" si="8"/>
        <v>0</v>
      </c>
      <c r="X72" s="342">
        <f t="shared" si="9"/>
        <v>0</v>
      </c>
      <c r="Y72" s="382">
        <f t="shared" si="10"/>
        <v>0</v>
      </c>
      <c r="Z72" s="343">
        <f t="shared" si="11"/>
        <v>0</v>
      </c>
      <c r="AA72" s="343">
        <f t="shared" si="12"/>
        <v>0</v>
      </c>
      <c r="AB72" s="343">
        <f t="shared" si="13"/>
        <v>0</v>
      </c>
      <c r="AC72" s="383">
        <f t="shared" si="14"/>
        <v>0</v>
      </c>
      <c r="AD72" s="344">
        <f t="shared" si="15"/>
        <v>0</v>
      </c>
      <c r="AE72" s="344">
        <f t="shared" si="16"/>
        <v>0</v>
      </c>
      <c r="AF72" s="344">
        <f t="shared" si="17"/>
        <v>0</v>
      </c>
      <c r="AG72" s="345">
        <f t="shared" si="18"/>
        <v>0</v>
      </c>
      <c r="AH72" s="345">
        <f t="shared" si="19"/>
        <v>0</v>
      </c>
      <c r="AI72" s="345">
        <f t="shared" si="20"/>
        <v>0</v>
      </c>
      <c r="AJ72" s="306">
        <f t="shared" si="29"/>
        <v>0</v>
      </c>
      <c r="AK72" s="306">
        <f t="shared" si="30"/>
        <v>0</v>
      </c>
      <c r="AL72" s="306">
        <f t="shared" si="31"/>
        <v>0</v>
      </c>
      <c r="AM72" s="749"/>
      <c r="AN72" s="763"/>
      <c r="AO72" s="780"/>
      <c r="AP72" s="898">
        <f t="shared" si="21"/>
        <v>0</v>
      </c>
      <c r="AQ72" s="896"/>
      <c r="AR72" s="896"/>
      <c r="AS72" s="780"/>
      <c r="AT72" s="780"/>
      <c r="AU72" s="780"/>
      <c r="AV72" s="780"/>
      <c r="AW72" s="780"/>
      <c r="AX72" s="780"/>
      <c r="AY72" s="780"/>
      <c r="AZ72" s="780"/>
      <c r="BA72" s="780"/>
      <c r="BD72" s="334" t="s">
        <v>378</v>
      </c>
    </row>
    <row r="73" spans="1:59" x14ac:dyDescent="0.2">
      <c r="A73" s="346"/>
      <c r="B73" s="347"/>
      <c r="C73" s="348"/>
      <c r="D73" s="349"/>
      <c r="E73" s="349"/>
      <c r="F73" s="350"/>
      <c r="G73" s="1211">
        <f t="shared" si="5"/>
        <v>0</v>
      </c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1212">
        <f t="shared" si="27"/>
        <v>0</v>
      </c>
      <c r="S73" s="1213">
        <f t="shared" si="28"/>
        <v>0</v>
      </c>
      <c r="T73" s="341"/>
      <c r="U73" s="381">
        <f t="shared" si="6"/>
        <v>0</v>
      </c>
      <c r="V73" s="342">
        <f t="shared" si="7"/>
        <v>0</v>
      </c>
      <c r="W73" s="342">
        <f t="shared" si="8"/>
        <v>0</v>
      </c>
      <c r="X73" s="342">
        <f t="shared" si="9"/>
        <v>0</v>
      </c>
      <c r="Y73" s="382">
        <f t="shared" si="10"/>
        <v>0</v>
      </c>
      <c r="Z73" s="343">
        <f t="shared" si="11"/>
        <v>0</v>
      </c>
      <c r="AA73" s="343">
        <f t="shared" si="12"/>
        <v>0</v>
      </c>
      <c r="AB73" s="343">
        <f t="shared" si="13"/>
        <v>0</v>
      </c>
      <c r="AC73" s="383">
        <f t="shared" si="14"/>
        <v>0</v>
      </c>
      <c r="AD73" s="344">
        <f t="shared" si="15"/>
        <v>0</v>
      </c>
      <c r="AE73" s="344">
        <f t="shared" si="16"/>
        <v>0</v>
      </c>
      <c r="AF73" s="344">
        <f t="shared" si="17"/>
        <v>0</v>
      </c>
      <c r="AG73" s="345">
        <f t="shared" si="18"/>
        <v>0</v>
      </c>
      <c r="AH73" s="345">
        <f t="shared" si="19"/>
        <v>0</v>
      </c>
      <c r="AI73" s="345">
        <f t="shared" si="20"/>
        <v>0</v>
      </c>
      <c r="AJ73" s="306">
        <f t="shared" si="29"/>
        <v>0</v>
      </c>
      <c r="AK73" s="306">
        <f t="shared" si="30"/>
        <v>0</v>
      </c>
      <c r="AL73" s="306">
        <f t="shared" si="31"/>
        <v>0</v>
      </c>
      <c r="AM73" s="749"/>
      <c r="AN73" s="763"/>
      <c r="AO73" s="780"/>
      <c r="AP73" s="898">
        <f t="shared" si="21"/>
        <v>0</v>
      </c>
      <c r="AQ73" s="896"/>
      <c r="AR73" s="896"/>
      <c r="AS73" s="780"/>
      <c r="AT73" s="780"/>
      <c r="AU73" s="780"/>
      <c r="AV73" s="780"/>
      <c r="AW73" s="780"/>
      <c r="AX73" s="780"/>
      <c r="AY73" s="780"/>
      <c r="AZ73" s="780"/>
      <c r="BA73" s="780"/>
      <c r="BD73" s="334" t="s">
        <v>379</v>
      </c>
      <c r="BG73" s="377"/>
    </row>
    <row r="74" spans="1:59" x14ac:dyDescent="0.2">
      <c r="A74" s="346"/>
      <c r="B74" s="347"/>
      <c r="C74" s="348"/>
      <c r="D74" s="349"/>
      <c r="E74" s="349"/>
      <c r="F74" s="350"/>
      <c r="G74" s="1211">
        <f t="shared" si="5"/>
        <v>0</v>
      </c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1212">
        <f t="shared" si="27"/>
        <v>0</v>
      </c>
      <c r="S74" s="1213">
        <f t="shared" si="28"/>
        <v>0</v>
      </c>
      <c r="T74" s="341"/>
      <c r="U74" s="381">
        <f t="shared" si="6"/>
        <v>0</v>
      </c>
      <c r="V74" s="342">
        <f t="shared" si="7"/>
        <v>0</v>
      </c>
      <c r="W74" s="342">
        <f t="shared" si="8"/>
        <v>0</v>
      </c>
      <c r="X74" s="342">
        <f t="shared" si="9"/>
        <v>0</v>
      </c>
      <c r="Y74" s="382">
        <f t="shared" si="10"/>
        <v>0</v>
      </c>
      <c r="Z74" s="343">
        <f t="shared" si="11"/>
        <v>0</v>
      </c>
      <c r="AA74" s="343">
        <f t="shared" si="12"/>
        <v>0</v>
      </c>
      <c r="AB74" s="343">
        <f t="shared" si="13"/>
        <v>0</v>
      </c>
      <c r="AC74" s="383">
        <f t="shared" si="14"/>
        <v>0</v>
      </c>
      <c r="AD74" s="344">
        <f t="shared" si="15"/>
        <v>0</v>
      </c>
      <c r="AE74" s="344">
        <f t="shared" si="16"/>
        <v>0</v>
      </c>
      <c r="AF74" s="344">
        <f t="shared" si="17"/>
        <v>0</v>
      </c>
      <c r="AG74" s="345">
        <f t="shared" si="18"/>
        <v>0</v>
      </c>
      <c r="AH74" s="345">
        <f t="shared" si="19"/>
        <v>0</v>
      </c>
      <c r="AI74" s="345">
        <f t="shared" si="20"/>
        <v>0</v>
      </c>
      <c r="AJ74" s="306">
        <f t="shared" si="29"/>
        <v>0</v>
      </c>
      <c r="AK74" s="306">
        <f t="shared" si="30"/>
        <v>0</v>
      </c>
      <c r="AL74" s="306">
        <f t="shared" si="31"/>
        <v>0</v>
      </c>
      <c r="AM74" s="749"/>
      <c r="AN74" s="763"/>
      <c r="AO74" s="780"/>
      <c r="AP74" s="898">
        <f t="shared" si="21"/>
        <v>0</v>
      </c>
      <c r="AQ74" s="896"/>
      <c r="AR74" s="896"/>
      <c r="AS74" s="780"/>
      <c r="AT74" s="780"/>
      <c r="AU74" s="780"/>
      <c r="AV74" s="780"/>
      <c r="AW74" s="780"/>
      <c r="AX74" s="780"/>
      <c r="AY74" s="780"/>
      <c r="AZ74" s="780"/>
      <c r="BA74" s="780"/>
      <c r="BD74" s="351"/>
    </row>
    <row r="75" spans="1:59" x14ac:dyDescent="0.2">
      <c r="A75" s="346"/>
      <c r="B75" s="347"/>
      <c r="C75" s="348"/>
      <c r="D75" s="349"/>
      <c r="E75" s="349"/>
      <c r="F75" s="350"/>
      <c r="G75" s="1211">
        <f t="shared" si="5"/>
        <v>0</v>
      </c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1212">
        <f t="shared" si="27"/>
        <v>0</v>
      </c>
      <c r="S75" s="1213">
        <f t="shared" si="28"/>
        <v>0</v>
      </c>
      <c r="T75" s="341"/>
      <c r="U75" s="381">
        <f t="shared" si="6"/>
        <v>0</v>
      </c>
      <c r="V75" s="342">
        <f t="shared" si="7"/>
        <v>0</v>
      </c>
      <c r="W75" s="342">
        <f t="shared" si="8"/>
        <v>0</v>
      </c>
      <c r="X75" s="342">
        <f t="shared" si="9"/>
        <v>0</v>
      </c>
      <c r="Y75" s="382">
        <f t="shared" si="10"/>
        <v>0</v>
      </c>
      <c r="Z75" s="343">
        <f t="shared" si="11"/>
        <v>0</v>
      </c>
      <c r="AA75" s="343">
        <f t="shared" si="12"/>
        <v>0</v>
      </c>
      <c r="AB75" s="343">
        <f t="shared" si="13"/>
        <v>0</v>
      </c>
      <c r="AC75" s="383">
        <f t="shared" si="14"/>
        <v>0</v>
      </c>
      <c r="AD75" s="344">
        <f t="shared" si="15"/>
        <v>0</v>
      </c>
      <c r="AE75" s="344">
        <f t="shared" si="16"/>
        <v>0</v>
      </c>
      <c r="AF75" s="344">
        <f t="shared" si="17"/>
        <v>0</v>
      </c>
      <c r="AG75" s="345">
        <f t="shared" si="18"/>
        <v>0</v>
      </c>
      <c r="AH75" s="345">
        <f t="shared" si="19"/>
        <v>0</v>
      </c>
      <c r="AI75" s="345">
        <f t="shared" si="20"/>
        <v>0</v>
      </c>
      <c r="AJ75" s="306">
        <f t="shared" si="29"/>
        <v>0</v>
      </c>
      <c r="AK75" s="306">
        <f t="shared" si="30"/>
        <v>0</v>
      </c>
      <c r="AL75" s="306">
        <f t="shared" si="31"/>
        <v>0</v>
      </c>
      <c r="AM75" s="749"/>
      <c r="AN75" s="763"/>
      <c r="AO75" s="780"/>
      <c r="AP75" s="898">
        <f t="shared" si="21"/>
        <v>0</v>
      </c>
      <c r="AQ75" s="896"/>
      <c r="AR75" s="896"/>
      <c r="AS75" s="780"/>
      <c r="AT75" s="780"/>
      <c r="AU75" s="780"/>
      <c r="AV75" s="780"/>
      <c r="AW75" s="780"/>
      <c r="AX75" s="780"/>
      <c r="AY75" s="780"/>
      <c r="AZ75" s="780"/>
      <c r="BA75" s="780"/>
      <c r="BD75" s="330" t="s">
        <v>373</v>
      </c>
      <c r="BG75" s="377"/>
    </row>
    <row r="76" spans="1:59" x14ac:dyDescent="0.2">
      <c r="A76" s="346"/>
      <c r="B76" s="347"/>
      <c r="C76" s="348"/>
      <c r="D76" s="349"/>
      <c r="E76" s="349"/>
      <c r="F76" s="350"/>
      <c r="G76" s="1211">
        <f t="shared" si="5"/>
        <v>0</v>
      </c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1212">
        <f t="shared" si="27"/>
        <v>0</v>
      </c>
      <c r="S76" s="1213">
        <f t="shared" si="28"/>
        <v>0</v>
      </c>
      <c r="T76" s="341"/>
      <c r="U76" s="381">
        <f t="shared" si="6"/>
        <v>0</v>
      </c>
      <c r="V76" s="342">
        <f t="shared" si="7"/>
        <v>0</v>
      </c>
      <c r="W76" s="342">
        <f t="shared" si="8"/>
        <v>0</v>
      </c>
      <c r="X76" s="342">
        <f t="shared" si="9"/>
        <v>0</v>
      </c>
      <c r="Y76" s="382">
        <f t="shared" si="10"/>
        <v>0</v>
      </c>
      <c r="Z76" s="343">
        <f t="shared" si="11"/>
        <v>0</v>
      </c>
      <c r="AA76" s="343">
        <f t="shared" si="12"/>
        <v>0</v>
      </c>
      <c r="AB76" s="343">
        <f t="shared" si="13"/>
        <v>0</v>
      </c>
      <c r="AC76" s="383">
        <f t="shared" si="14"/>
        <v>0</v>
      </c>
      <c r="AD76" s="344">
        <f t="shared" si="15"/>
        <v>0</v>
      </c>
      <c r="AE76" s="344">
        <f t="shared" si="16"/>
        <v>0</v>
      </c>
      <c r="AF76" s="344">
        <f t="shared" si="17"/>
        <v>0</v>
      </c>
      <c r="AG76" s="345">
        <f t="shared" si="18"/>
        <v>0</v>
      </c>
      <c r="AH76" s="345">
        <f t="shared" si="19"/>
        <v>0</v>
      </c>
      <c r="AI76" s="345">
        <f t="shared" si="20"/>
        <v>0</v>
      </c>
      <c r="AJ76" s="306">
        <f t="shared" si="29"/>
        <v>0</v>
      </c>
      <c r="AK76" s="306">
        <f t="shared" si="30"/>
        <v>0</v>
      </c>
      <c r="AL76" s="306">
        <f t="shared" si="31"/>
        <v>0</v>
      </c>
      <c r="AM76" s="749"/>
      <c r="AN76" s="763"/>
      <c r="AO76" s="780"/>
      <c r="AP76" s="898">
        <f t="shared" si="21"/>
        <v>0</v>
      </c>
      <c r="AQ76" s="896"/>
      <c r="AR76" s="896"/>
      <c r="AS76" s="780"/>
      <c r="AT76" s="780"/>
      <c r="AU76" s="780"/>
      <c r="AV76" s="780"/>
      <c r="AW76" s="780"/>
      <c r="AX76" s="780"/>
      <c r="AY76" s="780"/>
      <c r="AZ76" s="780"/>
      <c r="BA76" s="780"/>
      <c r="BD76" s="334" t="s">
        <v>354</v>
      </c>
    </row>
    <row r="77" spans="1:59" x14ac:dyDescent="0.2">
      <c r="A77" s="346"/>
      <c r="B77" s="347"/>
      <c r="C77" s="348"/>
      <c r="D77" s="349"/>
      <c r="E77" s="349"/>
      <c r="F77" s="350"/>
      <c r="G77" s="1211">
        <f t="shared" si="5"/>
        <v>0</v>
      </c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1212">
        <f t="shared" si="27"/>
        <v>0</v>
      </c>
      <c r="S77" s="1213">
        <f t="shared" si="28"/>
        <v>0</v>
      </c>
      <c r="T77" s="341"/>
      <c r="U77" s="381">
        <f t="shared" si="6"/>
        <v>0</v>
      </c>
      <c r="V77" s="342">
        <f t="shared" si="7"/>
        <v>0</v>
      </c>
      <c r="W77" s="342">
        <f t="shared" si="8"/>
        <v>0</v>
      </c>
      <c r="X77" s="342">
        <f t="shared" si="9"/>
        <v>0</v>
      </c>
      <c r="Y77" s="382">
        <f t="shared" si="10"/>
        <v>0</v>
      </c>
      <c r="Z77" s="343">
        <f t="shared" si="11"/>
        <v>0</v>
      </c>
      <c r="AA77" s="343">
        <f t="shared" si="12"/>
        <v>0</v>
      </c>
      <c r="AB77" s="343">
        <f t="shared" si="13"/>
        <v>0</v>
      </c>
      <c r="AC77" s="383">
        <f t="shared" si="14"/>
        <v>0</v>
      </c>
      <c r="AD77" s="344">
        <f t="shared" si="15"/>
        <v>0</v>
      </c>
      <c r="AE77" s="344">
        <f t="shared" si="16"/>
        <v>0</v>
      </c>
      <c r="AF77" s="344">
        <f t="shared" si="17"/>
        <v>0</v>
      </c>
      <c r="AG77" s="345">
        <f t="shared" si="18"/>
        <v>0</v>
      </c>
      <c r="AH77" s="345">
        <f t="shared" si="19"/>
        <v>0</v>
      </c>
      <c r="AI77" s="345">
        <f t="shared" si="20"/>
        <v>0</v>
      </c>
      <c r="AJ77" s="306">
        <f t="shared" si="29"/>
        <v>0</v>
      </c>
      <c r="AK77" s="306">
        <f t="shared" si="30"/>
        <v>0</v>
      </c>
      <c r="AL77" s="306">
        <f t="shared" si="31"/>
        <v>0</v>
      </c>
      <c r="AM77" s="749"/>
      <c r="AN77" s="763"/>
      <c r="AO77" s="780"/>
      <c r="AP77" s="898">
        <f t="shared" si="21"/>
        <v>0</v>
      </c>
      <c r="AQ77" s="896"/>
      <c r="AR77" s="896"/>
      <c r="AS77" s="780"/>
      <c r="AT77" s="780"/>
      <c r="AU77" s="780"/>
      <c r="AV77" s="780"/>
      <c r="AW77" s="780"/>
      <c r="AX77" s="780"/>
      <c r="AY77" s="780"/>
      <c r="AZ77" s="780"/>
      <c r="BA77" s="780"/>
      <c r="BD77" s="334" t="s">
        <v>34</v>
      </c>
    </row>
    <row r="78" spans="1:59" x14ac:dyDescent="0.2">
      <c r="A78" s="346"/>
      <c r="B78" s="347"/>
      <c r="C78" s="348"/>
      <c r="D78" s="349"/>
      <c r="E78" s="349"/>
      <c r="F78" s="350"/>
      <c r="G78" s="1211">
        <f t="shared" si="5"/>
        <v>0</v>
      </c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1212">
        <f t="shared" si="27"/>
        <v>0</v>
      </c>
      <c r="S78" s="1213">
        <f t="shared" si="28"/>
        <v>0</v>
      </c>
      <c r="T78" s="341"/>
      <c r="U78" s="381">
        <f t="shared" si="6"/>
        <v>0</v>
      </c>
      <c r="V78" s="342">
        <f t="shared" si="7"/>
        <v>0</v>
      </c>
      <c r="W78" s="342">
        <f t="shared" si="8"/>
        <v>0</v>
      </c>
      <c r="X78" s="342">
        <f t="shared" si="9"/>
        <v>0</v>
      </c>
      <c r="Y78" s="382">
        <f t="shared" si="10"/>
        <v>0</v>
      </c>
      <c r="Z78" s="343">
        <f t="shared" si="11"/>
        <v>0</v>
      </c>
      <c r="AA78" s="343">
        <f t="shared" si="12"/>
        <v>0</v>
      </c>
      <c r="AB78" s="343">
        <f t="shared" si="13"/>
        <v>0</v>
      </c>
      <c r="AC78" s="383">
        <f t="shared" si="14"/>
        <v>0</v>
      </c>
      <c r="AD78" s="344">
        <f t="shared" si="15"/>
        <v>0</v>
      </c>
      <c r="AE78" s="344">
        <f t="shared" si="16"/>
        <v>0</v>
      </c>
      <c r="AF78" s="344">
        <f t="shared" si="17"/>
        <v>0</v>
      </c>
      <c r="AG78" s="345">
        <f t="shared" si="18"/>
        <v>0</v>
      </c>
      <c r="AH78" s="345">
        <f t="shared" si="19"/>
        <v>0</v>
      </c>
      <c r="AI78" s="345">
        <f t="shared" si="20"/>
        <v>0</v>
      </c>
      <c r="AJ78" s="306">
        <f t="shared" si="29"/>
        <v>0</v>
      </c>
      <c r="AK78" s="306">
        <f t="shared" si="30"/>
        <v>0</v>
      </c>
      <c r="AL78" s="306">
        <f t="shared" si="31"/>
        <v>0</v>
      </c>
      <c r="AM78" s="749"/>
      <c r="AN78" s="763"/>
      <c r="AO78" s="780"/>
      <c r="AP78" s="898">
        <f t="shared" si="21"/>
        <v>0</v>
      </c>
      <c r="AQ78" s="896"/>
      <c r="AR78" s="896"/>
      <c r="AS78" s="780"/>
      <c r="AT78" s="780"/>
      <c r="AU78" s="780"/>
      <c r="AV78" s="780"/>
      <c r="AW78" s="780"/>
      <c r="AX78" s="780"/>
      <c r="AY78" s="780"/>
      <c r="AZ78" s="780"/>
      <c r="BA78" s="780"/>
      <c r="BD78" s="334" t="s">
        <v>35</v>
      </c>
    </row>
    <row r="79" spans="1:59" x14ac:dyDescent="0.2">
      <c r="A79" s="346"/>
      <c r="B79" s="347"/>
      <c r="C79" s="348"/>
      <c r="D79" s="349"/>
      <c r="E79" s="349"/>
      <c r="F79" s="350"/>
      <c r="G79" s="1211">
        <f t="shared" si="5"/>
        <v>0</v>
      </c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1212">
        <f t="shared" si="27"/>
        <v>0</v>
      </c>
      <c r="S79" s="1213">
        <f t="shared" si="28"/>
        <v>0</v>
      </c>
      <c r="T79" s="341"/>
      <c r="U79" s="381">
        <f t="shared" si="6"/>
        <v>0</v>
      </c>
      <c r="V79" s="342">
        <f t="shared" si="7"/>
        <v>0</v>
      </c>
      <c r="W79" s="342">
        <f t="shared" si="8"/>
        <v>0</v>
      </c>
      <c r="X79" s="342">
        <f t="shared" si="9"/>
        <v>0</v>
      </c>
      <c r="Y79" s="382">
        <f t="shared" si="10"/>
        <v>0</v>
      </c>
      <c r="Z79" s="343">
        <f t="shared" si="11"/>
        <v>0</v>
      </c>
      <c r="AA79" s="343">
        <f t="shared" si="12"/>
        <v>0</v>
      </c>
      <c r="AB79" s="343">
        <f t="shared" si="13"/>
        <v>0</v>
      </c>
      <c r="AC79" s="383">
        <f t="shared" si="14"/>
        <v>0</v>
      </c>
      <c r="AD79" s="344">
        <f t="shared" si="15"/>
        <v>0</v>
      </c>
      <c r="AE79" s="344">
        <f t="shared" si="16"/>
        <v>0</v>
      </c>
      <c r="AF79" s="344">
        <f t="shared" si="17"/>
        <v>0</v>
      </c>
      <c r="AG79" s="345">
        <f t="shared" si="18"/>
        <v>0</v>
      </c>
      <c r="AH79" s="345">
        <f t="shared" si="19"/>
        <v>0</v>
      </c>
      <c r="AI79" s="345">
        <f t="shared" si="20"/>
        <v>0</v>
      </c>
      <c r="AJ79" s="306">
        <f t="shared" si="29"/>
        <v>0</v>
      </c>
      <c r="AK79" s="306">
        <f t="shared" si="30"/>
        <v>0</v>
      </c>
      <c r="AL79" s="306">
        <f t="shared" si="31"/>
        <v>0</v>
      </c>
      <c r="AM79" s="749"/>
      <c r="AN79" s="763"/>
      <c r="AO79" s="780"/>
      <c r="AP79" s="898">
        <f t="shared" si="21"/>
        <v>0</v>
      </c>
      <c r="AQ79" s="896"/>
      <c r="AR79" s="896"/>
      <c r="AS79" s="780"/>
      <c r="AT79" s="780"/>
      <c r="AU79" s="780"/>
      <c r="AV79" s="780"/>
      <c r="AW79" s="780"/>
      <c r="AX79" s="780"/>
      <c r="AY79" s="780"/>
      <c r="AZ79" s="780"/>
      <c r="BA79" s="780"/>
      <c r="BD79" s="334" t="s">
        <v>380</v>
      </c>
    </row>
    <row r="80" spans="1:59" x14ac:dyDescent="0.2">
      <c r="A80" s="346"/>
      <c r="B80" s="347"/>
      <c r="C80" s="348"/>
      <c r="D80" s="349"/>
      <c r="E80" s="349"/>
      <c r="F80" s="350"/>
      <c r="G80" s="1211">
        <f t="shared" si="5"/>
        <v>0</v>
      </c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1212">
        <f t="shared" si="27"/>
        <v>0</v>
      </c>
      <c r="S80" s="1213">
        <f t="shared" si="28"/>
        <v>0</v>
      </c>
      <c r="T80" s="341"/>
      <c r="U80" s="381">
        <f t="shared" si="6"/>
        <v>0</v>
      </c>
      <c r="V80" s="342">
        <f t="shared" si="7"/>
        <v>0</v>
      </c>
      <c r="W80" s="342">
        <f t="shared" si="8"/>
        <v>0</v>
      </c>
      <c r="X80" s="342">
        <f t="shared" si="9"/>
        <v>0</v>
      </c>
      <c r="Y80" s="382">
        <f t="shared" si="10"/>
        <v>0</v>
      </c>
      <c r="Z80" s="343">
        <f t="shared" si="11"/>
        <v>0</v>
      </c>
      <c r="AA80" s="343">
        <f t="shared" si="12"/>
        <v>0</v>
      </c>
      <c r="AB80" s="343">
        <f t="shared" si="13"/>
        <v>0</v>
      </c>
      <c r="AC80" s="383">
        <f t="shared" si="14"/>
        <v>0</v>
      </c>
      <c r="AD80" s="344">
        <f t="shared" si="15"/>
        <v>0</v>
      </c>
      <c r="AE80" s="344">
        <f t="shared" si="16"/>
        <v>0</v>
      </c>
      <c r="AF80" s="344">
        <f t="shared" si="17"/>
        <v>0</v>
      </c>
      <c r="AG80" s="345">
        <f t="shared" si="18"/>
        <v>0</v>
      </c>
      <c r="AH80" s="345">
        <f t="shared" si="19"/>
        <v>0</v>
      </c>
      <c r="AI80" s="345">
        <f t="shared" si="20"/>
        <v>0</v>
      </c>
      <c r="AJ80" s="306">
        <f t="shared" si="29"/>
        <v>0</v>
      </c>
      <c r="AK80" s="306">
        <f t="shared" si="30"/>
        <v>0</v>
      </c>
      <c r="AL80" s="306">
        <f t="shared" si="31"/>
        <v>0</v>
      </c>
      <c r="AM80" s="749"/>
      <c r="AN80" s="763"/>
      <c r="AO80" s="780"/>
      <c r="AP80" s="898">
        <f t="shared" si="21"/>
        <v>0</v>
      </c>
      <c r="AQ80" s="896"/>
      <c r="AR80" s="896"/>
      <c r="AS80" s="780"/>
      <c r="AT80" s="780"/>
      <c r="AU80" s="780"/>
      <c r="AV80" s="780"/>
      <c r="AW80" s="780"/>
      <c r="AX80" s="780"/>
      <c r="AY80" s="780"/>
      <c r="AZ80" s="780"/>
      <c r="BA80" s="780"/>
      <c r="BD80" s="351"/>
    </row>
    <row r="81" spans="1:56" x14ac:dyDescent="0.2">
      <c r="A81" s="346"/>
      <c r="B81" s="347"/>
      <c r="C81" s="348"/>
      <c r="D81" s="349"/>
      <c r="E81" s="349"/>
      <c r="F81" s="350"/>
      <c r="G81" s="1211">
        <f t="shared" si="5"/>
        <v>0</v>
      </c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1212">
        <f t="shared" si="27"/>
        <v>0</v>
      </c>
      <c r="S81" s="1213">
        <f t="shared" si="28"/>
        <v>0</v>
      </c>
      <c r="T81" s="341"/>
      <c r="U81" s="381">
        <f t="shared" si="6"/>
        <v>0</v>
      </c>
      <c r="V81" s="342">
        <f t="shared" si="7"/>
        <v>0</v>
      </c>
      <c r="W81" s="342">
        <f t="shared" si="8"/>
        <v>0</v>
      </c>
      <c r="X81" s="342">
        <f t="shared" si="9"/>
        <v>0</v>
      </c>
      <c r="Y81" s="382">
        <f t="shared" si="10"/>
        <v>0</v>
      </c>
      <c r="Z81" s="343">
        <f t="shared" si="11"/>
        <v>0</v>
      </c>
      <c r="AA81" s="343">
        <f t="shared" si="12"/>
        <v>0</v>
      </c>
      <c r="AB81" s="343">
        <f t="shared" si="13"/>
        <v>0</v>
      </c>
      <c r="AC81" s="383">
        <f t="shared" si="14"/>
        <v>0</v>
      </c>
      <c r="AD81" s="344">
        <f t="shared" si="15"/>
        <v>0</v>
      </c>
      <c r="AE81" s="344">
        <f t="shared" si="16"/>
        <v>0</v>
      </c>
      <c r="AF81" s="344">
        <f t="shared" si="17"/>
        <v>0</v>
      </c>
      <c r="AG81" s="345">
        <f t="shared" si="18"/>
        <v>0</v>
      </c>
      <c r="AH81" s="345">
        <f t="shared" si="19"/>
        <v>0</v>
      </c>
      <c r="AI81" s="345">
        <f t="shared" si="20"/>
        <v>0</v>
      </c>
      <c r="AJ81" s="306">
        <f t="shared" si="29"/>
        <v>0</v>
      </c>
      <c r="AK81" s="306">
        <f t="shared" si="30"/>
        <v>0</v>
      </c>
      <c r="AL81" s="306">
        <f t="shared" si="31"/>
        <v>0</v>
      </c>
      <c r="AM81" s="749"/>
      <c r="AN81" s="763"/>
      <c r="AO81" s="780"/>
      <c r="AP81" s="898">
        <f t="shared" si="21"/>
        <v>0</v>
      </c>
      <c r="AQ81" s="896"/>
      <c r="AR81" s="896"/>
      <c r="AS81" s="780"/>
      <c r="AT81" s="780"/>
      <c r="AU81" s="780"/>
      <c r="AV81" s="780"/>
      <c r="AW81" s="780"/>
      <c r="AX81" s="780"/>
      <c r="AY81" s="780"/>
      <c r="AZ81" s="780"/>
      <c r="BA81" s="780"/>
      <c r="BD81" s="330" t="s">
        <v>381</v>
      </c>
    </row>
    <row r="82" spans="1:56" x14ac:dyDescent="0.2">
      <c r="A82" s="346"/>
      <c r="B82" s="347"/>
      <c r="C82" s="348"/>
      <c r="D82" s="349"/>
      <c r="E82" s="349"/>
      <c r="F82" s="350"/>
      <c r="G82" s="1211">
        <f t="shared" si="5"/>
        <v>0</v>
      </c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1212">
        <f t="shared" si="27"/>
        <v>0</v>
      </c>
      <c r="S82" s="1213">
        <f t="shared" si="28"/>
        <v>0</v>
      </c>
      <c r="T82" s="341"/>
      <c r="U82" s="381">
        <f t="shared" si="6"/>
        <v>0</v>
      </c>
      <c r="V82" s="342">
        <f t="shared" si="7"/>
        <v>0</v>
      </c>
      <c r="W82" s="342">
        <f t="shared" si="8"/>
        <v>0</v>
      </c>
      <c r="X82" s="342">
        <f t="shared" si="9"/>
        <v>0</v>
      </c>
      <c r="Y82" s="382">
        <f t="shared" si="10"/>
        <v>0</v>
      </c>
      <c r="Z82" s="343">
        <f t="shared" si="11"/>
        <v>0</v>
      </c>
      <c r="AA82" s="343">
        <f t="shared" si="12"/>
        <v>0</v>
      </c>
      <c r="AB82" s="343">
        <f t="shared" si="13"/>
        <v>0</v>
      </c>
      <c r="AC82" s="383">
        <f t="shared" si="14"/>
        <v>0</v>
      </c>
      <c r="AD82" s="344">
        <f t="shared" si="15"/>
        <v>0</v>
      </c>
      <c r="AE82" s="344">
        <f t="shared" si="16"/>
        <v>0</v>
      </c>
      <c r="AF82" s="344">
        <f t="shared" si="17"/>
        <v>0</v>
      </c>
      <c r="AG82" s="345">
        <f t="shared" si="18"/>
        <v>0</v>
      </c>
      <c r="AH82" s="345">
        <f t="shared" si="19"/>
        <v>0</v>
      </c>
      <c r="AI82" s="345">
        <f t="shared" si="20"/>
        <v>0</v>
      </c>
      <c r="AJ82" s="306">
        <f t="shared" si="29"/>
        <v>0</v>
      </c>
      <c r="AK82" s="306">
        <f t="shared" si="30"/>
        <v>0</v>
      </c>
      <c r="AL82" s="306">
        <f t="shared" si="31"/>
        <v>0</v>
      </c>
      <c r="AM82" s="749"/>
      <c r="AN82" s="763"/>
      <c r="AO82" s="780"/>
      <c r="AP82" s="898">
        <f t="shared" si="21"/>
        <v>0</v>
      </c>
      <c r="AQ82" s="896"/>
      <c r="AR82" s="896"/>
      <c r="AS82" s="780"/>
      <c r="AT82" s="780"/>
      <c r="AU82" s="780"/>
      <c r="AV82" s="780"/>
      <c r="AW82" s="780"/>
      <c r="AX82" s="780"/>
      <c r="AY82" s="780"/>
      <c r="AZ82" s="780"/>
      <c r="BA82" s="780"/>
      <c r="BD82" s="334" t="s">
        <v>354</v>
      </c>
    </row>
    <row r="83" spans="1:56" x14ac:dyDescent="0.2">
      <c r="A83" s="346"/>
      <c r="B83" s="347"/>
      <c r="C83" s="348"/>
      <c r="D83" s="349"/>
      <c r="E83" s="349"/>
      <c r="F83" s="350"/>
      <c r="G83" s="1211">
        <f t="shared" si="5"/>
        <v>0</v>
      </c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1212">
        <f t="shared" si="27"/>
        <v>0</v>
      </c>
      <c r="S83" s="1213">
        <f t="shared" si="28"/>
        <v>0</v>
      </c>
      <c r="T83" s="341"/>
      <c r="U83" s="381">
        <f t="shared" si="6"/>
        <v>0</v>
      </c>
      <c r="V83" s="342">
        <f t="shared" si="7"/>
        <v>0</v>
      </c>
      <c r="W83" s="342">
        <f t="shared" si="8"/>
        <v>0</v>
      </c>
      <c r="X83" s="342">
        <f t="shared" si="9"/>
        <v>0</v>
      </c>
      <c r="Y83" s="382">
        <f t="shared" si="10"/>
        <v>0</v>
      </c>
      <c r="Z83" s="343">
        <f t="shared" si="11"/>
        <v>0</v>
      </c>
      <c r="AA83" s="343">
        <f t="shared" si="12"/>
        <v>0</v>
      </c>
      <c r="AB83" s="343">
        <f t="shared" si="13"/>
        <v>0</v>
      </c>
      <c r="AC83" s="383">
        <f t="shared" si="14"/>
        <v>0</v>
      </c>
      <c r="AD83" s="344">
        <f t="shared" si="15"/>
        <v>0</v>
      </c>
      <c r="AE83" s="344">
        <f t="shared" si="16"/>
        <v>0</v>
      </c>
      <c r="AF83" s="344">
        <f t="shared" si="17"/>
        <v>0</v>
      </c>
      <c r="AG83" s="345">
        <f t="shared" si="18"/>
        <v>0</v>
      </c>
      <c r="AH83" s="345">
        <f t="shared" si="19"/>
        <v>0</v>
      </c>
      <c r="AI83" s="345">
        <f t="shared" si="20"/>
        <v>0</v>
      </c>
      <c r="AJ83" s="306">
        <f t="shared" si="29"/>
        <v>0</v>
      </c>
      <c r="AK83" s="306">
        <f t="shared" si="30"/>
        <v>0</v>
      </c>
      <c r="AL83" s="306">
        <f t="shared" si="31"/>
        <v>0</v>
      </c>
      <c r="AM83" s="749"/>
      <c r="AN83" s="763"/>
      <c r="AO83" s="780"/>
      <c r="AP83" s="898">
        <f t="shared" si="21"/>
        <v>0</v>
      </c>
      <c r="AQ83" s="896"/>
      <c r="AR83" s="896"/>
      <c r="AS83" s="780"/>
      <c r="AT83" s="780"/>
      <c r="AU83" s="780"/>
      <c r="AV83" s="780"/>
      <c r="AW83" s="780"/>
      <c r="AX83" s="780"/>
      <c r="AY83" s="780"/>
      <c r="AZ83" s="780"/>
      <c r="BA83" s="780"/>
      <c r="BD83" s="334" t="s">
        <v>382</v>
      </c>
    </row>
    <row r="84" spans="1:56" x14ac:dyDescent="0.2">
      <c r="A84" s="346"/>
      <c r="B84" s="347"/>
      <c r="C84" s="348"/>
      <c r="D84" s="349"/>
      <c r="E84" s="349"/>
      <c r="F84" s="350"/>
      <c r="G84" s="1211">
        <f t="shared" si="5"/>
        <v>0</v>
      </c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1212">
        <f t="shared" si="27"/>
        <v>0</v>
      </c>
      <c r="S84" s="1213">
        <f t="shared" si="28"/>
        <v>0</v>
      </c>
      <c r="T84" s="341"/>
      <c r="U84" s="381">
        <f t="shared" si="6"/>
        <v>0</v>
      </c>
      <c r="V84" s="342">
        <f t="shared" si="7"/>
        <v>0</v>
      </c>
      <c r="W84" s="342">
        <f t="shared" si="8"/>
        <v>0</v>
      </c>
      <c r="X84" s="342">
        <f t="shared" si="9"/>
        <v>0</v>
      </c>
      <c r="Y84" s="382">
        <f t="shared" si="10"/>
        <v>0</v>
      </c>
      <c r="Z84" s="343">
        <f t="shared" si="11"/>
        <v>0</v>
      </c>
      <c r="AA84" s="343">
        <f t="shared" si="12"/>
        <v>0</v>
      </c>
      <c r="AB84" s="343">
        <f t="shared" si="13"/>
        <v>0</v>
      </c>
      <c r="AC84" s="383">
        <f t="shared" si="14"/>
        <v>0</v>
      </c>
      <c r="AD84" s="344">
        <f t="shared" si="15"/>
        <v>0</v>
      </c>
      <c r="AE84" s="344">
        <f t="shared" si="16"/>
        <v>0</v>
      </c>
      <c r="AF84" s="344">
        <f t="shared" si="17"/>
        <v>0</v>
      </c>
      <c r="AG84" s="345">
        <f t="shared" si="18"/>
        <v>0</v>
      </c>
      <c r="AH84" s="345">
        <f t="shared" si="19"/>
        <v>0</v>
      </c>
      <c r="AI84" s="345">
        <f t="shared" si="20"/>
        <v>0</v>
      </c>
      <c r="AJ84" s="306">
        <f t="shared" si="29"/>
        <v>0</v>
      </c>
      <c r="AK84" s="306">
        <f t="shared" si="30"/>
        <v>0</v>
      </c>
      <c r="AL84" s="306">
        <f t="shared" si="31"/>
        <v>0</v>
      </c>
      <c r="AM84" s="749"/>
      <c r="AN84" s="763"/>
      <c r="AO84" s="780"/>
      <c r="AP84" s="898">
        <f t="shared" si="21"/>
        <v>0</v>
      </c>
      <c r="AQ84" s="896"/>
      <c r="AR84" s="896"/>
      <c r="AS84" s="780"/>
      <c r="AT84" s="780"/>
      <c r="AU84" s="780"/>
      <c r="AV84" s="780"/>
      <c r="AW84" s="780"/>
      <c r="AX84" s="780"/>
      <c r="AY84" s="780"/>
      <c r="AZ84" s="780"/>
      <c r="BA84" s="780"/>
      <c r="BD84" s="334"/>
    </row>
    <row r="85" spans="1:56" x14ac:dyDescent="0.2">
      <c r="A85" s="346"/>
      <c r="B85" s="347"/>
      <c r="C85" s="348"/>
      <c r="D85" s="349"/>
      <c r="E85" s="349"/>
      <c r="F85" s="350"/>
      <c r="G85" s="1211">
        <f t="shared" si="5"/>
        <v>0</v>
      </c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1212">
        <f t="shared" si="27"/>
        <v>0</v>
      </c>
      <c r="S85" s="1213">
        <f t="shared" si="28"/>
        <v>0</v>
      </c>
      <c r="T85" s="341"/>
      <c r="U85" s="381">
        <f t="shared" si="6"/>
        <v>0</v>
      </c>
      <c r="V85" s="342">
        <f t="shared" si="7"/>
        <v>0</v>
      </c>
      <c r="W85" s="342">
        <f t="shared" si="8"/>
        <v>0</v>
      </c>
      <c r="X85" s="342">
        <f t="shared" si="9"/>
        <v>0</v>
      </c>
      <c r="Y85" s="382">
        <f t="shared" si="10"/>
        <v>0</v>
      </c>
      <c r="Z85" s="343">
        <f t="shared" si="11"/>
        <v>0</v>
      </c>
      <c r="AA85" s="343">
        <f t="shared" si="12"/>
        <v>0</v>
      </c>
      <c r="AB85" s="343">
        <f t="shared" si="13"/>
        <v>0</v>
      </c>
      <c r="AC85" s="383">
        <f t="shared" si="14"/>
        <v>0</v>
      </c>
      <c r="AD85" s="344">
        <f t="shared" si="15"/>
        <v>0</v>
      </c>
      <c r="AE85" s="344">
        <f t="shared" si="16"/>
        <v>0</v>
      </c>
      <c r="AF85" s="344">
        <f t="shared" si="17"/>
        <v>0</v>
      </c>
      <c r="AG85" s="345">
        <f t="shared" si="18"/>
        <v>0</v>
      </c>
      <c r="AH85" s="345">
        <f t="shared" si="19"/>
        <v>0</v>
      </c>
      <c r="AI85" s="345">
        <f t="shared" si="20"/>
        <v>0</v>
      </c>
      <c r="AJ85" s="306">
        <f t="shared" si="29"/>
        <v>0</v>
      </c>
      <c r="AK85" s="306">
        <f t="shared" si="30"/>
        <v>0</v>
      </c>
      <c r="AL85" s="306">
        <f t="shared" si="31"/>
        <v>0</v>
      </c>
      <c r="AM85" s="749"/>
      <c r="AN85" s="763"/>
      <c r="AO85" s="780"/>
      <c r="AP85" s="898">
        <f t="shared" si="21"/>
        <v>0</v>
      </c>
      <c r="AQ85" s="896"/>
      <c r="AR85" s="896"/>
      <c r="AS85" s="780"/>
      <c r="AT85" s="780"/>
      <c r="AU85" s="780"/>
      <c r="AV85" s="780"/>
      <c r="AW85" s="780"/>
      <c r="AX85" s="780"/>
      <c r="AY85" s="780"/>
      <c r="AZ85" s="780"/>
      <c r="BA85" s="780"/>
      <c r="BD85" s="334"/>
    </row>
    <row r="86" spans="1:56" x14ac:dyDescent="0.2">
      <c r="A86" s="346"/>
      <c r="B86" s="347"/>
      <c r="C86" s="348"/>
      <c r="D86" s="349"/>
      <c r="E86" s="349"/>
      <c r="F86" s="350"/>
      <c r="G86" s="1211">
        <f t="shared" si="5"/>
        <v>0</v>
      </c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1212">
        <f t="shared" ref="R86:R109" si="32">IFERROR(IF(A86&lt;&gt;"GfB",(SUM(G86:J86,L86,P86)*12+(N86+O86))*(100+$J$12+$J$13)%+((K86+M86+Q86)*12),(SUM(G86:J86,L86,P86)*12+(N86+O86))*(100+$J$15+$J$13)%+((K86+M86+Q86)*12)),0)</f>
        <v>0</v>
      </c>
      <c r="S86" s="1213">
        <f t="shared" ref="S86:S109" si="33">IF(ISERROR(R86/C86),0,(R86/C86))</f>
        <v>0</v>
      </c>
      <c r="T86" s="341"/>
      <c r="U86" s="381">
        <f t="shared" si="6"/>
        <v>0</v>
      </c>
      <c r="V86" s="342">
        <f t="shared" si="7"/>
        <v>0</v>
      </c>
      <c r="W86" s="342">
        <f t="shared" si="8"/>
        <v>0</v>
      </c>
      <c r="X86" s="342">
        <f t="shared" si="9"/>
        <v>0</v>
      </c>
      <c r="Y86" s="382">
        <f t="shared" si="10"/>
        <v>0</v>
      </c>
      <c r="Z86" s="343">
        <f t="shared" si="11"/>
        <v>0</v>
      </c>
      <c r="AA86" s="343">
        <f t="shared" si="12"/>
        <v>0</v>
      </c>
      <c r="AB86" s="343">
        <f t="shared" si="13"/>
        <v>0</v>
      </c>
      <c r="AC86" s="383">
        <f t="shared" si="14"/>
        <v>0</v>
      </c>
      <c r="AD86" s="344">
        <f t="shared" si="15"/>
        <v>0</v>
      </c>
      <c r="AE86" s="344">
        <f t="shared" si="16"/>
        <v>0</v>
      </c>
      <c r="AF86" s="344">
        <f t="shared" si="17"/>
        <v>0</v>
      </c>
      <c r="AG86" s="345">
        <f t="shared" si="18"/>
        <v>0</v>
      </c>
      <c r="AH86" s="345">
        <f t="shared" si="19"/>
        <v>0</v>
      </c>
      <c r="AI86" s="345">
        <f t="shared" si="20"/>
        <v>0</v>
      </c>
      <c r="AJ86" s="306">
        <f t="shared" ref="AJ86:AJ122" si="34">IF(AND($B86="PFK/BFK",$C86&gt;0,$F86&gt;0),$R86,0)</f>
        <v>0</v>
      </c>
      <c r="AK86" s="306">
        <f t="shared" ref="AK86:AK122" si="35">IF(AND($B86="PK/BK",$C86&gt;0,$F86&gt;0),$R86,0)</f>
        <v>0</v>
      </c>
      <c r="AL86" s="306">
        <f t="shared" ref="AL86:AL122" si="36">IF(AND($B86="PK/BK o.",$C86&gt;0,$F86&gt;0),$R86,0)</f>
        <v>0</v>
      </c>
      <c r="AM86" s="749"/>
      <c r="AN86" s="763"/>
      <c r="AO86" s="780"/>
      <c r="AP86" s="898">
        <f t="shared" si="21"/>
        <v>0</v>
      </c>
      <c r="AQ86" s="896"/>
      <c r="AR86" s="896"/>
      <c r="AS86" s="780"/>
      <c r="AT86" s="780"/>
      <c r="AU86" s="780"/>
      <c r="AV86" s="780"/>
      <c r="AW86" s="780"/>
      <c r="AX86" s="780"/>
      <c r="AY86" s="780"/>
      <c r="AZ86" s="780"/>
      <c r="BA86" s="780"/>
      <c r="BD86" s="334"/>
    </row>
    <row r="87" spans="1:56" x14ac:dyDescent="0.2">
      <c r="A87" s="346"/>
      <c r="B87" s="347"/>
      <c r="C87" s="348"/>
      <c r="D87" s="349"/>
      <c r="E87" s="349"/>
      <c r="F87" s="350"/>
      <c r="G87" s="1211">
        <f t="shared" ref="G87:G122" si="37">IFERROR(F87*C87,"")</f>
        <v>0</v>
      </c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1212">
        <f t="shared" si="32"/>
        <v>0</v>
      </c>
      <c r="S87" s="1213">
        <f t="shared" si="33"/>
        <v>0</v>
      </c>
      <c r="T87" s="341"/>
      <c r="U87" s="381">
        <f t="shared" ref="U87:U122" si="38">(IF(AND($B87="PFK/BFK",$C87&gt;0,$F87&gt;0),($G87+$H87),0))</f>
        <v>0</v>
      </c>
      <c r="V87" s="342">
        <f t="shared" ref="V87:V122" si="39">(IF(AND($B87="PFK/BFK",$C87&gt;0,$F87&gt;0),$I87,0))</f>
        <v>0</v>
      </c>
      <c r="W87" s="342">
        <f t="shared" ref="W87:W122" si="40">(IF(AND($B87="PFK/BFK",$C87&gt;0,$F87&gt;0),($J87+$K87),0))</f>
        <v>0</v>
      </c>
      <c r="X87" s="342">
        <f t="shared" ref="X87:X122" si="41">(IF(AND($B87="PFK/BFK",$C87&gt;0,$F87&gt;0),(($N87+$O87)/12),0))</f>
        <v>0</v>
      </c>
      <c r="Y87" s="382">
        <f t="shared" ref="Y87:Y122" si="42">(IF(AND($B87="PK/BK",$C87&gt;0,$F87&gt;0),($G87+$H87),0))</f>
        <v>0</v>
      </c>
      <c r="Z87" s="343">
        <f t="shared" ref="Z87:Z122" si="43">(IF(AND($B87="PK/BK",$C87&gt;0,$F87&gt;0),$I87,0))</f>
        <v>0</v>
      </c>
      <c r="AA87" s="343">
        <f t="shared" ref="AA87:AA122" si="44">(IF(AND($B87="PK/BK",$C87&gt;0,$F87&gt;0),($J87+$K87),0))</f>
        <v>0</v>
      </c>
      <c r="AB87" s="343">
        <f t="shared" ref="AB87:AB122" si="45">(IF(AND($B87="PK/BK",$C87&gt;0,$F87&gt;0),(($N87+$O87)/12),0))</f>
        <v>0</v>
      </c>
      <c r="AC87" s="383">
        <f t="shared" ref="AC87:AC122" si="46">(IF(AND($B87="PK/BK o.",$C87&gt;0,$F87&gt;0),($G87+$H87),0))</f>
        <v>0</v>
      </c>
      <c r="AD87" s="344">
        <f t="shared" ref="AD87:AD122" si="47">(IF(AND($B87="PK/BK o.",$C87&gt;0,$F87&gt;0),$I87,0))</f>
        <v>0</v>
      </c>
      <c r="AE87" s="344">
        <f t="shared" ref="AE87:AE122" si="48">(IF(AND($B87="PK/BK o.",$C87&gt;0,$F87&gt;0),($J87+$K87),0))</f>
        <v>0</v>
      </c>
      <c r="AF87" s="344">
        <f t="shared" ref="AF87:AF122" si="49">(IF(AND($B87="PK/BK o.",$C87&gt;0,$F87&gt;0),(($N87+$O87)/12),0))</f>
        <v>0</v>
      </c>
      <c r="AG87" s="345">
        <f t="shared" ref="AG87:AG122" si="50">IF(AND($B87="PFK/BFK",$C87&gt;0,$F87&gt;0),$C87,0)</f>
        <v>0</v>
      </c>
      <c r="AH87" s="345">
        <f t="shared" ref="AH87:AH122" si="51">IF(AND($B87="PK/BK",$C87&gt;0,$F87&gt;0),$C87,0)</f>
        <v>0</v>
      </c>
      <c r="AI87" s="345">
        <f t="shared" ref="AI87:AI122" si="52">IF(AND($B87="PK/BK o.",$C87&gt;0,$F87&gt;0),$C87,0)</f>
        <v>0</v>
      </c>
      <c r="AJ87" s="306">
        <f t="shared" si="34"/>
        <v>0</v>
      </c>
      <c r="AK87" s="306">
        <f t="shared" si="35"/>
        <v>0</v>
      </c>
      <c r="AL87" s="306">
        <f t="shared" si="36"/>
        <v>0</v>
      </c>
      <c r="AM87" s="749"/>
      <c r="AN87" s="763"/>
      <c r="AO87" s="780"/>
      <c r="AP87" s="898">
        <f t="shared" ref="AP87:AP122" si="53">IF(AND($B87&lt;&gt;"",$F87&gt;0,$C87&gt;0),$C87,0)</f>
        <v>0</v>
      </c>
      <c r="AQ87" s="896"/>
      <c r="AR87" s="896"/>
      <c r="AS87" s="780"/>
      <c r="AT87" s="780"/>
      <c r="AU87" s="780"/>
      <c r="AV87" s="780"/>
      <c r="AW87" s="780"/>
      <c r="AX87" s="780"/>
      <c r="AY87" s="780"/>
      <c r="AZ87" s="780"/>
      <c r="BA87" s="780"/>
      <c r="BD87" s="334"/>
    </row>
    <row r="88" spans="1:56" x14ac:dyDescent="0.2">
      <c r="A88" s="346"/>
      <c r="B88" s="347"/>
      <c r="C88" s="348"/>
      <c r="D88" s="349"/>
      <c r="E88" s="349"/>
      <c r="F88" s="350"/>
      <c r="G88" s="1211">
        <f t="shared" si="37"/>
        <v>0</v>
      </c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1212">
        <f t="shared" si="32"/>
        <v>0</v>
      </c>
      <c r="S88" s="1213">
        <f t="shared" si="33"/>
        <v>0</v>
      </c>
      <c r="T88" s="341"/>
      <c r="U88" s="381">
        <f t="shared" si="38"/>
        <v>0</v>
      </c>
      <c r="V88" s="342">
        <f t="shared" si="39"/>
        <v>0</v>
      </c>
      <c r="W88" s="342">
        <f t="shared" si="40"/>
        <v>0</v>
      </c>
      <c r="X88" s="342">
        <f t="shared" si="41"/>
        <v>0</v>
      </c>
      <c r="Y88" s="382">
        <f t="shared" si="42"/>
        <v>0</v>
      </c>
      <c r="Z88" s="343">
        <f t="shared" si="43"/>
        <v>0</v>
      </c>
      <c r="AA88" s="343">
        <f t="shared" si="44"/>
        <v>0</v>
      </c>
      <c r="AB88" s="343">
        <f t="shared" si="45"/>
        <v>0</v>
      </c>
      <c r="AC88" s="383">
        <f t="shared" si="46"/>
        <v>0</v>
      </c>
      <c r="AD88" s="344">
        <f t="shared" si="47"/>
        <v>0</v>
      </c>
      <c r="AE88" s="344">
        <f t="shared" si="48"/>
        <v>0</v>
      </c>
      <c r="AF88" s="344">
        <f t="shared" si="49"/>
        <v>0</v>
      </c>
      <c r="AG88" s="345">
        <f t="shared" si="50"/>
        <v>0</v>
      </c>
      <c r="AH88" s="345">
        <f t="shared" si="51"/>
        <v>0</v>
      </c>
      <c r="AI88" s="345">
        <f t="shared" si="52"/>
        <v>0</v>
      </c>
      <c r="AJ88" s="306">
        <f t="shared" si="34"/>
        <v>0</v>
      </c>
      <c r="AK88" s="306">
        <f t="shared" si="35"/>
        <v>0</v>
      </c>
      <c r="AL88" s="306">
        <f t="shared" si="36"/>
        <v>0</v>
      </c>
      <c r="AM88" s="749"/>
      <c r="AN88" s="763"/>
      <c r="AO88" s="780"/>
      <c r="AP88" s="898">
        <f t="shared" si="53"/>
        <v>0</v>
      </c>
      <c r="AQ88" s="896"/>
      <c r="AR88" s="896"/>
      <c r="AS88" s="780"/>
      <c r="AT88" s="780"/>
      <c r="AU88" s="780"/>
      <c r="AV88" s="780"/>
      <c r="AW88" s="780"/>
      <c r="AX88" s="780"/>
      <c r="AY88" s="780"/>
      <c r="AZ88" s="780"/>
      <c r="BA88" s="780"/>
      <c r="BD88" s="334"/>
    </row>
    <row r="89" spans="1:56" x14ac:dyDescent="0.2">
      <c r="A89" s="346"/>
      <c r="B89" s="347"/>
      <c r="C89" s="348"/>
      <c r="D89" s="349"/>
      <c r="E89" s="349"/>
      <c r="F89" s="350"/>
      <c r="G89" s="1211">
        <f t="shared" si="37"/>
        <v>0</v>
      </c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1212">
        <f t="shared" si="32"/>
        <v>0</v>
      </c>
      <c r="S89" s="1213">
        <f t="shared" si="33"/>
        <v>0</v>
      </c>
      <c r="T89" s="341"/>
      <c r="U89" s="381">
        <f t="shared" si="38"/>
        <v>0</v>
      </c>
      <c r="V89" s="342">
        <f t="shared" si="39"/>
        <v>0</v>
      </c>
      <c r="W89" s="342">
        <f t="shared" si="40"/>
        <v>0</v>
      </c>
      <c r="X89" s="342">
        <f t="shared" si="41"/>
        <v>0</v>
      </c>
      <c r="Y89" s="382">
        <f t="shared" si="42"/>
        <v>0</v>
      </c>
      <c r="Z89" s="343">
        <f t="shared" si="43"/>
        <v>0</v>
      </c>
      <c r="AA89" s="343">
        <f t="shared" si="44"/>
        <v>0</v>
      </c>
      <c r="AB89" s="343">
        <f t="shared" si="45"/>
        <v>0</v>
      </c>
      <c r="AC89" s="383">
        <f t="shared" si="46"/>
        <v>0</v>
      </c>
      <c r="AD89" s="344">
        <f t="shared" si="47"/>
        <v>0</v>
      </c>
      <c r="AE89" s="344">
        <f t="shared" si="48"/>
        <v>0</v>
      </c>
      <c r="AF89" s="344">
        <f t="shared" si="49"/>
        <v>0</v>
      </c>
      <c r="AG89" s="345">
        <f t="shared" si="50"/>
        <v>0</v>
      </c>
      <c r="AH89" s="345">
        <f t="shared" si="51"/>
        <v>0</v>
      </c>
      <c r="AI89" s="345">
        <f t="shared" si="52"/>
        <v>0</v>
      </c>
      <c r="AJ89" s="306">
        <f t="shared" si="34"/>
        <v>0</v>
      </c>
      <c r="AK89" s="306">
        <f t="shared" si="35"/>
        <v>0</v>
      </c>
      <c r="AL89" s="306">
        <f t="shared" si="36"/>
        <v>0</v>
      </c>
      <c r="AM89" s="749"/>
      <c r="AN89" s="763"/>
      <c r="AO89" s="780"/>
      <c r="AP89" s="898">
        <f t="shared" si="53"/>
        <v>0</v>
      </c>
      <c r="AQ89" s="896"/>
      <c r="AR89" s="896"/>
      <c r="AS89" s="780"/>
      <c r="AT89" s="780"/>
      <c r="AU89" s="780"/>
      <c r="AV89" s="780"/>
      <c r="AW89" s="780"/>
      <c r="AX89" s="780"/>
      <c r="AY89" s="780"/>
      <c r="AZ89" s="780"/>
      <c r="BA89" s="780"/>
      <c r="BD89" s="334"/>
    </row>
    <row r="90" spans="1:56" x14ac:dyDescent="0.2">
      <c r="A90" s="346"/>
      <c r="B90" s="347"/>
      <c r="C90" s="348"/>
      <c r="D90" s="349"/>
      <c r="E90" s="349"/>
      <c r="F90" s="350"/>
      <c r="G90" s="1211">
        <f t="shared" si="37"/>
        <v>0</v>
      </c>
      <c r="H90" s="339"/>
      <c r="I90" s="339"/>
      <c r="J90" s="339"/>
      <c r="K90" s="339"/>
      <c r="L90" s="339"/>
      <c r="M90" s="339"/>
      <c r="N90" s="339"/>
      <c r="O90" s="339"/>
      <c r="P90" s="339"/>
      <c r="Q90" s="339"/>
      <c r="R90" s="1212">
        <f t="shared" si="32"/>
        <v>0</v>
      </c>
      <c r="S90" s="1213">
        <f t="shared" si="33"/>
        <v>0</v>
      </c>
      <c r="T90" s="341"/>
      <c r="U90" s="381">
        <f t="shared" si="38"/>
        <v>0</v>
      </c>
      <c r="V90" s="342">
        <f t="shared" si="39"/>
        <v>0</v>
      </c>
      <c r="W90" s="342">
        <f t="shared" si="40"/>
        <v>0</v>
      </c>
      <c r="X90" s="342">
        <f t="shared" si="41"/>
        <v>0</v>
      </c>
      <c r="Y90" s="382">
        <f t="shared" si="42"/>
        <v>0</v>
      </c>
      <c r="Z90" s="343">
        <f t="shared" si="43"/>
        <v>0</v>
      </c>
      <c r="AA90" s="343">
        <f t="shared" si="44"/>
        <v>0</v>
      </c>
      <c r="AB90" s="343">
        <f t="shared" si="45"/>
        <v>0</v>
      </c>
      <c r="AC90" s="383">
        <f t="shared" si="46"/>
        <v>0</v>
      </c>
      <c r="AD90" s="344">
        <f t="shared" si="47"/>
        <v>0</v>
      </c>
      <c r="AE90" s="344">
        <f t="shared" si="48"/>
        <v>0</v>
      </c>
      <c r="AF90" s="344">
        <f t="shared" si="49"/>
        <v>0</v>
      </c>
      <c r="AG90" s="345">
        <f t="shared" si="50"/>
        <v>0</v>
      </c>
      <c r="AH90" s="345">
        <f t="shared" si="51"/>
        <v>0</v>
      </c>
      <c r="AI90" s="345">
        <f t="shared" si="52"/>
        <v>0</v>
      </c>
      <c r="AJ90" s="306">
        <f t="shared" si="34"/>
        <v>0</v>
      </c>
      <c r="AK90" s="306">
        <f t="shared" si="35"/>
        <v>0</v>
      </c>
      <c r="AL90" s="306">
        <f t="shared" si="36"/>
        <v>0</v>
      </c>
      <c r="AM90" s="749"/>
      <c r="AN90" s="763"/>
      <c r="AO90" s="780"/>
      <c r="AP90" s="898">
        <f t="shared" si="53"/>
        <v>0</v>
      </c>
      <c r="AQ90" s="896"/>
      <c r="AR90" s="896"/>
      <c r="AS90" s="780"/>
      <c r="AT90" s="780"/>
      <c r="AU90" s="780"/>
      <c r="AV90" s="780"/>
      <c r="AW90" s="780"/>
      <c r="AX90" s="780"/>
      <c r="AY90" s="780"/>
      <c r="AZ90" s="780"/>
      <c r="BA90" s="780"/>
      <c r="BD90" s="334"/>
    </row>
    <row r="91" spans="1:56" x14ac:dyDescent="0.2">
      <c r="A91" s="346"/>
      <c r="B91" s="347"/>
      <c r="C91" s="348"/>
      <c r="D91" s="349"/>
      <c r="E91" s="349"/>
      <c r="F91" s="350"/>
      <c r="G91" s="1211">
        <f t="shared" si="37"/>
        <v>0</v>
      </c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1212">
        <f t="shared" si="32"/>
        <v>0</v>
      </c>
      <c r="S91" s="1213">
        <f t="shared" si="33"/>
        <v>0</v>
      </c>
      <c r="T91" s="341"/>
      <c r="U91" s="381">
        <f t="shared" si="38"/>
        <v>0</v>
      </c>
      <c r="V91" s="342">
        <f t="shared" si="39"/>
        <v>0</v>
      </c>
      <c r="W91" s="342">
        <f t="shared" si="40"/>
        <v>0</v>
      </c>
      <c r="X91" s="342">
        <f t="shared" si="41"/>
        <v>0</v>
      </c>
      <c r="Y91" s="382">
        <f t="shared" si="42"/>
        <v>0</v>
      </c>
      <c r="Z91" s="343">
        <f t="shared" si="43"/>
        <v>0</v>
      </c>
      <c r="AA91" s="343">
        <f t="shared" si="44"/>
        <v>0</v>
      </c>
      <c r="AB91" s="343">
        <f t="shared" si="45"/>
        <v>0</v>
      </c>
      <c r="AC91" s="383">
        <f t="shared" si="46"/>
        <v>0</v>
      </c>
      <c r="AD91" s="344">
        <f t="shared" si="47"/>
        <v>0</v>
      </c>
      <c r="AE91" s="344">
        <f t="shared" si="48"/>
        <v>0</v>
      </c>
      <c r="AF91" s="344">
        <f t="shared" si="49"/>
        <v>0</v>
      </c>
      <c r="AG91" s="345">
        <f t="shared" si="50"/>
        <v>0</v>
      </c>
      <c r="AH91" s="345">
        <f t="shared" si="51"/>
        <v>0</v>
      </c>
      <c r="AI91" s="345">
        <f t="shared" si="52"/>
        <v>0</v>
      </c>
      <c r="AJ91" s="306">
        <f t="shared" si="34"/>
        <v>0</v>
      </c>
      <c r="AK91" s="306">
        <f t="shared" si="35"/>
        <v>0</v>
      </c>
      <c r="AL91" s="306">
        <f t="shared" si="36"/>
        <v>0</v>
      </c>
      <c r="AM91" s="749"/>
      <c r="AN91" s="763"/>
      <c r="AO91" s="780"/>
      <c r="AP91" s="898">
        <f t="shared" si="53"/>
        <v>0</v>
      </c>
      <c r="AQ91" s="896"/>
      <c r="AR91" s="896"/>
      <c r="AS91" s="780"/>
      <c r="AT91" s="780"/>
      <c r="AU91" s="780"/>
      <c r="AV91" s="780"/>
      <c r="AW91" s="780"/>
      <c r="AX91" s="780"/>
      <c r="AY91" s="780"/>
      <c r="AZ91" s="780"/>
      <c r="BA91" s="780"/>
      <c r="BD91" s="334"/>
    </row>
    <row r="92" spans="1:56" x14ac:dyDescent="0.2">
      <c r="A92" s="346"/>
      <c r="B92" s="347"/>
      <c r="C92" s="348"/>
      <c r="D92" s="349"/>
      <c r="E92" s="349"/>
      <c r="F92" s="350"/>
      <c r="G92" s="1211">
        <f t="shared" si="37"/>
        <v>0</v>
      </c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1212">
        <f t="shared" si="32"/>
        <v>0</v>
      </c>
      <c r="S92" s="1213">
        <f t="shared" si="33"/>
        <v>0</v>
      </c>
      <c r="T92" s="341"/>
      <c r="U92" s="381">
        <f t="shared" si="38"/>
        <v>0</v>
      </c>
      <c r="V92" s="342">
        <f t="shared" si="39"/>
        <v>0</v>
      </c>
      <c r="W92" s="342">
        <f t="shared" si="40"/>
        <v>0</v>
      </c>
      <c r="X92" s="342">
        <f t="shared" si="41"/>
        <v>0</v>
      </c>
      <c r="Y92" s="382">
        <f t="shared" si="42"/>
        <v>0</v>
      </c>
      <c r="Z92" s="343">
        <f t="shared" si="43"/>
        <v>0</v>
      </c>
      <c r="AA92" s="343">
        <f t="shared" si="44"/>
        <v>0</v>
      </c>
      <c r="AB92" s="343">
        <f t="shared" si="45"/>
        <v>0</v>
      </c>
      <c r="AC92" s="383">
        <f t="shared" si="46"/>
        <v>0</v>
      </c>
      <c r="AD92" s="344">
        <f t="shared" si="47"/>
        <v>0</v>
      </c>
      <c r="AE92" s="344">
        <f t="shared" si="48"/>
        <v>0</v>
      </c>
      <c r="AF92" s="344">
        <f t="shared" si="49"/>
        <v>0</v>
      </c>
      <c r="AG92" s="345">
        <f t="shared" si="50"/>
        <v>0</v>
      </c>
      <c r="AH92" s="345">
        <f t="shared" si="51"/>
        <v>0</v>
      </c>
      <c r="AI92" s="345">
        <f t="shared" si="52"/>
        <v>0</v>
      </c>
      <c r="AJ92" s="306">
        <f t="shared" si="34"/>
        <v>0</v>
      </c>
      <c r="AK92" s="306">
        <f t="shared" si="35"/>
        <v>0</v>
      </c>
      <c r="AL92" s="306">
        <f t="shared" si="36"/>
        <v>0</v>
      </c>
      <c r="AM92" s="749"/>
      <c r="AN92" s="763"/>
      <c r="AO92" s="780"/>
      <c r="AP92" s="898">
        <f t="shared" si="53"/>
        <v>0</v>
      </c>
      <c r="AQ92" s="896"/>
      <c r="AR92" s="896"/>
      <c r="AS92" s="780"/>
      <c r="AT92" s="780"/>
      <c r="AU92" s="780"/>
      <c r="AV92" s="780"/>
      <c r="AW92" s="780"/>
      <c r="AX92" s="780"/>
      <c r="AY92" s="780"/>
      <c r="AZ92" s="780"/>
      <c r="BA92" s="780"/>
      <c r="BD92" s="334"/>
    </row>
    <row r="93" spans="1:56" x14ac:dyDescent="0.2">
      <c r="A93" s="346"/>
      <c r="B93" s="347"/>
      <c r="C93" s="348"/>
      <c r="D93" s="349"/>
      <c r="E93" s="349"/>
      <c r="F93" s="350"/>
      <c r="G93" s="1211">
        <f t="shared" si="37"/>
        <v>0</v>
      </c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1212">
        <f t="shared" si="32"/>
        <v>0</v>
      </c>
      <c r="S93" s="1213">
        <f t="shared" si="33"/>
        <v>0</v>
      </c>
      <c r="T93" s="341"/>
      <c r="U93" s="381">
        <f t="shared" si="38"/>
        <v>0</v>
      </c>
      <c r="V93" s="342">
        <f t="shared" si="39"/>
        <v>0</v>
      </c>
      <c r="W93" s="342">
        <f t="shared" si="40"/>
        <v>0</v>
      </c>
      <c r="X93" s="342">
        <f t="shared" si="41"/>
        <v>0</v>
      </c>
      <c r="Y93" s="382">
        <f t="shared" si="42"/>
        <v>0</v>
      </c>
      <c r="Z93" s="343">
        <f t="shared" si="43"/>
        <v>0</v>
      </c>
      <c r="AA93" s="343">
        <f t="shared" si="44"/>
        <v>0</v>
      </c>
      <c r="AB93" s="343">
        <f t="shared" si="45"/>
        <v>0</v>
      </c>
      <c r="AC93" s="383">
        <f t="shared" si="46"/>
        <v>0</v>
      </c>
      <c r="AD93" s="344">
        <f t="shared" si="47"/>
        <v>0</v>
      </c>
      <c r="AE93" s="344">
        <f t="shared" si="48"/>
        <v>0</v>
      </c>
      <c r="AF93" s="344">
        <f t="shared" si="49"/>
        <v>0</v>
      </c>
      <c r="AG93" s="345">
        <f t="shared" si="50"/>
        <v>0</v>
      </c>
      <c r="AH93" s="345">
        <f t="shared" si="51"/>
        <v>0</v>
      </c>
      <c r="AI93" s="345">
        <f t="shared" si="52"/>
        <v>0</v>
      </c>
      <c r="AJ93" s="306">
        <f t="shared" si="34"/>
        <v>0</v>
      </c>
      <c r="AK93" s="306">
        <f t="shared" si="35"/>
        <v>0</v>
      </c>
      <c r="AL93" s="306">
        <f t="shared" si="36"/>
        <v>0</v>
      </c>
      <c r="AM93" s="749"/>
      <c r="AN93" s="763"/>
      <c r="AO93" s="780"/>
      <c r="AP93" s="898">
        <f t="shared" si="53"/>
        <v>0</v>
      </c>
      <c r="AQ93" s="896"/>
      <c r="AR93" s="896"/>
      <c r="AS93" s="780"/>
      <c r="AT93" s="780"/>
      <c r="AU93" s="780"/>
      <c r="AV93" s="780"/>
      <c r="AW93" s="780"/>
      <c r="AX93" s="780"/>
      <c r="AY93" s="780"/>
      <c r="AZ93" s="780"/>
      <c r="BA93" s="780"/>
      <c r="BD93" s="334"/>
    </row>
    <row r="94" spans="1:56" x14ac:dyDescent="0.2">
      <c r="A94" s="346"/>
      <c r="B94" s="347"/>
      <c r="C94" s="348"/>
      <c r="D94" s="349"/>
      <c r="E94" s="349"/>
      <c r="F94" s="350"/>
      <c r="G94" s="1211">
        <f t="shared" si="37"/>
        <v>0</v>
      </c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1212">
        <f t="shared" si="32"/>
        <v>0</v>
      </c>
      <c r="S94" s="1213">
        <f t="shared" si="33"/>
        <v>0</v>
      </c>
      <c r="T94" s="341"/>
      <c r="U94" s="381">
        <f t="shared" si="38"/>
        <v>0</v>
      </c>
      <c r="V94" s="342">
        <f t="shared" si="39"/>
        <v>0</v>
      </c>
      <c r="W94" s="342">
        <f t="shared" si="40"/>
        <v>0</v>
      </c>
      <c r="X94" s="342">
        <f t="shared" si="41"/>
        <v>0</v>
      </c>
      <c r="Y94" s="382">
        <f t="shared" si="42"/>
        <v>0</v>
      </c>
      <c r="Z94" s="343">
        <f t="shared" si="43"/>
        <v>0</v>
      </c>
      <c r="AA94" s="343">
        <f t="shared" si="44"/>
        <v>0</v>
      </c>
      <c r="AB94" s="343">
        <f t="shared" si="45"/>
        <v>0</v>
      </c>
      <c r="AC94" s="383">
        <f t="shared" si="46"/>
        <v>0</v>
      </c>
      <c r="AD94" s="344">
        <f t="shared" si="47"/>
        <v>0</v>
      </c>
      <c r="AE94" s="344">
        <f t="shared" si="48"/>
        <v>0</v>
      </c>
      <c r="AF94" s="344">
        <f t="shared" si="49"/>
        <v>0</v>
      </c>
      <c r="AG94" s="345">
        <f t="shared" si="50"/>
        <v>0</v>
      </c>
      <c r="AH94" s="345">
        <f t="shared" si="51"/>
        <v>0</v>
      </c>
      <c r="AI94" s="345">
        <f t="shared" si="52"/>
        <v>0</v>
      </c>
      <c r="AJ94" s="306">
        <f t="shared" si="34"/>
        <v>0</v>
      </c>
      <c r="AK94" s="306">
        <f t="shared" si="35"/>
        <v>0</v>
      </c>
      <c r="AL94" s="306">
        <f t="shared" si="36"/>
        <v>0</v>
      </c>
      <c r="AM94" s="749"/>
      <c r="AN94" s="763"/>
      <c r="AO94" s="780"/>
      <c r="AP94" s="898">
        <f t="shared" si="53"/>
        <v>0</v>
      </c>
      <c r="AQ94" s="896"/>
      <c r="AR94" s="896"/>
      <c r="AS94" s="780"/>
      <c r="AT94" s="780"/>
      <c r="AU94" s="780"/>
      <c r="AV94" s="780"/>
      <c r="AW94" s="780"/>
      <c r="AX94" s="780"/>
      <c r="AY94" s="780"/>
      <c r="AZ94" s="780"/>
      <c r="BA94" s="780"/>
      <c r="BD94" s="334"/>
    </row>
    <row r="95" spans="1:56" x14ac:dyDescent="0.2">
      <c r="A95" s="346"/>
      <c r="B95" s="347"/>
      <c r="C95" s="348"/>
      <c r="D95" s="349"/>
      <c r="E95" s="349"/>
      <c r="F95" s="350"/>
      <c r="G95" s="1211">
        <f t="shared" si="37"/>
        <v>0</v>
      </c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1212">
        <f t="shared" si="32"/>
        <v>0</v>
      </c>
      <c r="S95" s="1213">
        <f t="shared" si="33"/>
        <v>0</v>
      </c>
      <c r="T95" s="341"/>
      <c r="U95" s="381">
        <f t="shared" si="38"/>
        <v>0</v>
      </c>
      <c r="V95" s="342">
        <f t="shared" si="39"/>
        <v>0</v>
      </c>
      <c r="W95" s="342">
        <f t="shared" si="40"/>
        <v>0</v>
      </c>
      <c r="X95" s="342">
        <f t="shared" si="41"/>
        <v>0</v>
      </c>
      <c r="Y95" s="382">
        <f t="shared" si="42"/>
        <v>0</v>
      </c>
      <c r="Z95" s="343">
        <f t="shared" si="43"/>
        <v>0</v>
      </c>
      <c r="AA95" s="343">
        <f t="shared" si="44"/>
        <v>0</v>
      </c>
      <c r="AB95" s="343">
        <f t="shared" si="45"/>
        <v>0</v>
      </c>
      <c r="AC95" s="383">
        <f t="shared" si="46"/>
        <v>0</v>
      </c>
      <c r="AD95" s="344">
        <f t="shared" si="47"/>
        <v>0</v>
      </c>
      <c r="AE95" s="344">
        <f t="shared" si="48"/>
        <v>0</v>
      </c>
      <c r="AF95" s="344">
        <f t="shared" si="49"/>
        <v>0</v>
      </c>
      <c r="AG95" s="345">
        <f t="shared" si="50"/>
        <v>0</v>
      </c>
      <c r="AH95" s="345">
        <f t="shared" si="51"/>
        <v>0</v>
      </c>
      <c r="AI95" s="345">
        <f t="shared" si="52"/>
        <v>0</v>
      </c>
      <c r="AJ95" s="306">
        <f t="shared" si="34"/>
        <v>0</v>
      </c>
      <c r="AK95" s="306">
        <f t="shared" si="35"/>
        <v>0</v>
      </c>
      <c r="AL95" s="306">
        <f t="shared" si="36"/>
        <v>0</v>
      </c>
      <c r="AM95" s="749"/>
      <c r="AN95" s="763"/>
      <c r="AO95" s="780"/>
      <c r="AP95" s="898">
        <f t="shared" si="53"/>
        <v>0</v>
      </c>
      <c r="AQ95" s="896"/>
      <c r="AR95" s="896"/>
      <c r="AS95" s="780"/>
      <c r="AT95" s="780"/>
      <c r="AU95" s="780"/>
      <c r="AV95" s="780"/>
      <c r="AW95" s="780"/>
      <c r="AX95" s="780"/>
      <c r="AY95" s="780"/>
      <c r="AZ95" s="780"/>
      <c r="BA95" s="780"/>
      <c r="BD95" s="334"/>
    </row>
    <row r="96" spans="1:56" x14ac:dyDescent="0.2">
      <c r="A96" s="346"/>
      <c r="B96" s="347"/>
      <c r="C96" s="348"/>
      <c r="D96" s="349"/>
      <c r="E96" s="349"/>
      <c r="F96" s="350"/>
      <c r="G96" s="1211">
        <f t="shared" si="37"/>
        <v>0</v>
      </c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1212">
        <f t="shared" si="32"/>
        <v>0</v>
      </c>
      <c r="S96" s="1213">
        <f t="shared" si="33"/>
        <v>0</v>
      </c>
      <c r="T96" s="341"/>
      <c r="U96" s="381">
        <f t="shared" si="38"/>
        <v>0</v>
      </c>
      <c r="V96" s="342">
        <f t="shared" si="39"/>
        <v>0</v>
      </c>
      <c r="W96" s="342">
        <f t="shared" si="40"/>
        <v>0</v>
      </c>
      <c r="X96" s="342">
        <f t="shared" si="41"/>
        <v>0</v>
      </c>
      <c r="Y96" s="382">
        <f t="shared" si="42"/>
        <v>0</v>
      </c>
      <c r="Z96" s="343">
        <f t="shared" si="43"/>
        <v>0</v>
      </c>
      <c r="AA96" s="343">
        <f t="shared" si="44"/>
        <v>0</v>
      </c>
      <c r="AB96" s="343">
        <f t="shared" si="45"/>
        <v>0</v>
      </c>
      <c r="AC96" s="383">
        <f t="shared" si="46"/>
        <v>0</v>
      </c>
      <c r="AD96" s="344">
        <f t="shared" si="47"/>
        <v>0</v>
      </c>
      <c r="AE96" s="344">
        <f t="shared" si="48"/>
        <v>0</v>
      </c>
      <c r="AF96" s="344">
        <f t="shared" si="49"/>
        <v>0</v>
      </c>
      <c r="AG96" s="345">
        <f t="shared" si="50"/>
        <v>0</v>
      </c>
      <c r="AH96" s="345">
        <f t="shared" si="51"/>
        <v>0</v>
      </c>
      <c r="AI96" s="345">
        <f t="shared" si="52"/>
        <v>0</v>
      </c>
      <c r="AJ96" s="306">
        <f t="shared" si="34"/>
        <v>0</v>
      </c>
      <c r="AK96" s="306">
        <f t="shared" si="35"/>
        <v>0</v>
      </c>
      <c r="AL96" s="306">
        <f t="shared" si="36"/>
        <v>0</v>
      </c>
      <c r="AM96" s="749"/>
      <c r="AN96" s="763"/>
      <c r="AO96" s="780"/>
      <c r="AP96" s="898">
        <f t="shared" si="53"/>
        <v>0</v>
      </c>
      <c r="AQ96" s="896"/>
      <c r="AR96" s="896"/>
      <c r="AS96" s="780"/>
      <c r="AT96" s="780"/>
      <c r="AU96" s="780"/>
      <c r="AV96" s="780"/>
      <c r="AW96" s="780"/>
      <c r="AX96" s="780"/>
      <c r="AY96" s="780"/>
      <c r="AZ96" s="780"/>
      <c r="BA96" s="780"/>
      <c r="BD96" s="334"/>
    </row>
    <row r="97" spans="1:56" x14ac:dyDescent="0.2">
      <c r="A97" s="346"/>
      <c r="B97" s="347"/>
      <c r="C97" s="348"/>
      <c r="D97" s="349"/>
      <c r="E97" s="349"/>
      <c r="F97" s="350"/>
      <c r="G97" s="1211">
        <f t="shared" si="37"/>
        <v>0</v>
      </c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1212">
        <f t="shared" si="32"/>
        <v>0</v>
      </c>
      <c r="S97" s="1213">
        <f t="shared" si="33"/>
        <v>0</v>
      </c>
      <c r="T97" s="341"/>
      <c r="U97" s="381">
        <f t="shared" si="38"/>
        <v>0</v>
      </c>
      <c r="V97" s="342">
        <f t="shared" si="39"/>
        <v>0</v>
      </c>
      <c r="W97" s="342">
        <f t="shared" si="40"/>
        <v>0</v>
      </c>
      <c r="X97" s="342">
        <f t="shared" si="41"/>
        <v>0</v>
      </c>
      <c r="Y97" s="382">
        <f t="shared" si="42"/>
        <v>0</v>
      </c>
      <c r="Z97" s="343">
        <f t="shared" si="43"/>
        <v>0</v>
      </c>
      <c r="AA97" s="343">
        <f t="shared" si="44"/>
        <v>0</v>
      </c>
      <c r="AB97" s="343">
        <f t="shared" si="45"/>
        <v>0</v>
      </c>
      <c r="AC97" s="383">
        <f t="shared" si="46"/>
        <v>0</v>
      </c>
      <c r="AD97" s="344">
        <f t="shared" si="47"/>
        <v>0</v>
      </c>
      <c r="AE97" s="344">
        <f t="shared" si="48"/>
        <v>0</v>
      </c>
      <c r="AF97" s="344">
        <f t="shared" si="49"/>
        <v>0</v>
      </c>
      <c r="AG97" s="345">
        <f t="shared" si="50"/>
        <v>0</v>
      </c>
      <c r="AH97" s="345">
        <f t="shared" si="51"/>
        <v>0</v>
      </c>
      <c r="AI97" s="345">
        <f t="shared" si="52"/>
        <v>0</v>
      </c>
      <c r="AJ97" s="306">
        <f t="shared" si="34"/>
        <v>0</v>
      </c>
      <c r="AK97" s="306">
        <f t="shared" si="35"/>
        <v>0</v>
      </c>
      <c r="AL97" s="306">
        <f t="shared" si="36"/>
        <v>0</v>
      </c>
      <c r="AM97" s="749"/>
      <c r="AN97" s="763"/>
      <c r="AO97" s="780"/>
      <c r="AP97" s="898">
        <f t="shared" si="53"/>
        <v>0</v>
      </c>
      <c r="AQ97" s="896"/>
      <c r="AR97" s="896"/>
      <c r="AS97" s="780"/>
      <c r="AT97" s="780"/>
      <c r="AU97" s="780"/>
      <c r="AV97" s="780"/>
      <c r="AW97" s="780"/>
      <c r="AX97" s="780"/>
      <c r="AY97" s="780"/>
      <c r="AZ97" s="780"/>
      <c r="BA97" s="780"/>
      <c r="BD97" s="334"/>
    </row>
    <row r="98" spans="1:56" x14ac:dyDescent="0.2">
      <c r="A98" s="346"/>
      <c r="B98" s="347"/>
      <c r="C98" s="348"/>
      <c r="D98" s="349"/>
      <c r="E98" s="349"/>
      <c r="F98" s="350"/>
      <c r="G98" s="1211">
        <f t="shared" si="37"/>
        <v>0</v>
      </c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1212">
        <f t="shared" si="32"/>
        <v>0</v>
      </c>
      <c r="S98" s="1213">
        <f t="shared" si="33"/>
        <v>0</v>
      </c>
      <c r="T98" s="341"/>
      <c r="U98" s="381">
        <f t="shared" si="38"/>
        <v>0</v>
      </c>
      <c r="V98" s="342">
        <f t="shared" si="39"/>
        <v>0</v>
      </c>
      <c r="W98" s="342">
        <f t="shared" si="40"/>
        <v>0</v>
      </c>
      <c r="X98" s="342">
        <f t="shared" si="41"/>
        <v>0</v>
      </c>
      <c r="Y98" s="382">
        <f t="shared" si="42"/>
        <v>0</v>
      </c>
      <c r="Z98" s="343">
        <f t="shared" si="43"/>
        <v>0</v>
      </c>
      <c r="AA98" s="343">
        <f t="shared" si="44"/>
        <v>0</v>
      </c>
      <c r="AB98" s="343">
        <f t="shared" si="45"/>
        <v>0</v>
      </c>
      <c r="AC98" s="383">
        <f t="shared" si="46"/>
        <v>0</v>
      </c>
      <c r="AD98" s="344">
        <f t="shared" si="47"/>
        <v>0</v>
      </c>
      <c r="AE98" s="344">
        <f t="shared" si="48"/>
        <v>0</v>
      </c>
      <c r="AF98" s="344">
        <f t="shared" si="49"/>
        <v>0</v>
      </c>
      <c r="AG98" s="345">
        <f t="shared" si="50"/>
        <v>0</v>
      </c>
      <c r="AH98" s="345">
        <f t="shared" si="51"/>
        <v>0</v>
      </c>
      <c r="AI98" s="345">
        <f t="shared" si="52"/>
        <v>0</v>
      </c>
      <c r="AJ98" s="306">
        <f t="shared" si="34"/>
        <v>0</v>
      </c>
      <c r="AK98" s="306">
        <f t="shared" si="35"/>
        <v>0</v>
      </c>
      <c r="AL98" s="306">
        <f t="shared" si="36"/>
        <v>0</v>
      </c>
      <c r="AM98" s="749"/>
      <c r="AN98" s="763"/>
      <c r="AO98" s="780"/>
      <c r="AP98" s="898">
        <f t="shared" si="53"/>
        <v>0</v>
      </c>
      <c r="AQ98" s="896"/>
      <c r="AR98" s="896"/>
      <c r="AS98" s="780"/>
      <c r="AT98" s="780"/>
      <c r="AU98" s="780"/>
      <c r="AV98" s="780"/>
      <c r="AW98" s="780"/>
      <c r="AX98" s="780"/>
      <c r="AY98" s="780"/>
      <c r="AZ98" s="780"/>
      <c r="BA98" s="780"/>
      <c r="BD98" s="334"/>
    </row>
    <row r="99" spans="1:56" x14ac:dyDescent="0.2">
      <c r="A99" s="346"/>
      <c r="B99" s="347"/>
      <c r="C99" s="348"/>
      <c r="D99" s="349"/>
      <c r="E99" s="349"/>
      <c r="F99" s="350"/>
      <c r="G99" s="1211">
        <f t="shared" si="37"/>
        <v>0</v>
      </c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1212">
        <f t="shared" si="32"/>
        <v>0</v>
      </c>
      <c r="S99" s="1213">
        <f t="shared" si="33"/>
        <v>0</v>
      </c>
      <c r="T99" s="341"/>
      <c r="U99" s="381">
        <f t="shared" si="38"/>
        <v>0</v>
      </c>
      <c r="V99" s="342">
        <f t="shared" si="39"/>
        <v>0</v>
      </c>
      <c r="W99" s="342">
        <f t="shared" si="40"/>
        <v>0</v>
      </c>
      <c r="X99" s="342">
        <f t="shared" si="41"/>
        <v>0</v>
      </c>
      <c r="Y99" s="382">
        <f t="shared" si="42"/>
        <v>0</v>
      </c>
      <c r="Z99" s="343">
        <f t="shared" si="43"/>
        <v>0</v>
      </c>
      <c r="AA99" s="343">
        <f t="shared" si="44"/>
        <v>0</v>
      </c>
      <c r="AB99" s="343">
        <f t="shared" si="45"/>
        <v>0</v>
      </c>
      <c r="AC99" s="383">
        <f t="shared" si="46"/>
        <v>0</v>
      </c>
      <c r="AD99" s="344">
        <f t="shared" si="47"/>
        <v>0</v>
      </c>
      <c r="AE99" s="344">
        <f t="shared" si="48"/>
        <v>0</v>
      </c>
      <c r="AF99" s="344">
        <f t="shared" si="49"/>
        <v>0</v>
      </c>
      <c r="AG99" s="345">
        <f t="shared" si="50"/>
        <v>0</v>
      </c>
      <c r="AH99" s="345">
        <f t="shared" si="51"/>
        <v>0</v>
      </c>
      <c r="AI99" s="345">
        <f t="shared" si="52"/>
        <v>0</v>
      </c>
      <c r="AJ99" s="306">
        <f t="shared" si="34"/>
        <v>0</v>
      </c>
      <c r="AK99" s="306">
        <f t="shared" si="35"/>
        <v>0</v>
      </c>
      <c r="AL99" s="306">
        <f t="shared" si="36"/>
        <v>0</v>
      </c>
      <c r="AM99" s="749"/>
      <c r="AN99" s="763"/>
      <c r="AO99" s="780"/>
      <c r="AP99" s="898">
        <f t="shared" si="53"/>
        <v>0</v>
      </c>
      <c r="AQ99" s="896"/>
      <c r="AR99" s="896"/>
      <c r="AS99" s="780"/>
      <c r="AT99" s="780"/>
      <c r="AU99" s="780"/>
      <c r="AV99" s="780"/>
      <c r="AW99" s="780"/>
      <c r="AX99" s="780"/>
      <c r="AY99" s="780"/>
      <c r="AZ99" s="780"/>
      <c r="BA99" s="780"/>
      <c r="BD99" s="334"/>
    </row>
    <row r="100" spans="1:56" x14ac:dyDescent="0.2">
      <c r="A100" s="346"/>
      <c r="B100" s="347"/>
      <c r="C100" s="348"/>
      <c r="D100" s="349"/>
      <c r="E100" s="349"/>
      <c r="F100" s="350"/>
      <c r="G100" s="1211">
        <f t="shared" si="37"/>
        <v>0</v>
      </c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1212">
        <f t="shared" si="32"/>
        <v>0</v>
      </c>
      <c r="S100" s="1213">
        <f t="shared" si="33"/>
        <v>0</v>
      </c>
      <c r="T100" s="341"/>
      <c r="U100" s="381">
        <f t="shared" si="38"/>
        <v>0</v>
      </c>
      <c r="V100" s="342">
        <f t="shared" si="39"/>
        <v>0</v>
      </c>
      <c r="W100" s="342">
        <f t="shared" si="40"/>
        <v>0</v>
      </c>
      <c r="X100" s="342">
        <f t="shared" si="41"/>
        <v>0</v>
      </c>
      <c r="Y100" s="382">
        <f t="shared" si="42"/>
        <v>0</v>
      </c>
      <c r="Z100" s="343">
        <f t="shared" si="43"/>
        <v>0</v>
      </c>
      <c r="AA100" s="343">
        <f t="shared" si="44"/>
        <v>0</v>
      </c>
      <c r="AB100" s="343">
        <f t="shared" si="45"/>
        <v>0</v>
      </c>
      <c r="AC100" s="383">
        <f t="shared" si="46"/>
        <v>0</v>
      </c>
      <c r="AD100" s="344">
        <f t="shared" si="47"/>
        <v>0</v>
      </c>
      <c r="AE100" s="344">
        <f t="shared" si="48"/>
        <v>0</v>
      </c>
      <c r="AF100" s="344">
        <f t="shared" si="49"/>
        <v>0</v>
      </c>
      <c r="AG100" s="345">
        <f t="shared" si="50"/>
        <v>0</v>
      </c>
      <c r="AH100" s="345">
        <f t="shared" si="51"/>
        <v>0</v>
      </c>
      <c r="AI100" s="345">
        <f t="shared" si="52"/>
        <v>0</v>
      </c>
      <c r="AJ100" s="306">
        <f t="shared" si="34"/>
        <v>0</v>
      </c>
      <c r="AK100" s="306">
        <f t="shared" si="35"/>
        <v>0</v>
      </c>
      <c r="AL100" s="306">
        <f t="shared" si="36"/>
        <v>0</v>
      </c>
      <c r="AM100" s="749"/>
      <c r="AN100" s="763"/>
      <c r="AO100" s="780"/>
      <c r="AP100" s="898">
        <f t="shared" si="53"/>
        <v>0</v>
      </c>
      <c r="AQ100" s="896"/>
      <c r="AR100" s="896"/>
      <c r="AS100" s="780"/>
      <c r="AT100" s="780"/>
      <c r="AU100" s="780"/>
      <c r="AV100" s="780"/>
      <c r="AW100" s="780"/>
      <c r="AX100" s="780"/>
      <c r="AY100" s="780"/>
      <c r="AZ100" s="780"/>
      <c r="BA100" s="780"/>
      <c r="BD100" s="334"/>
    </row>
    <row r="101" spans="1:56" x14ac:dyDescent="0.2">
      <c r="A101" s="346"/>
      <c r="B101" s="347"/>
      <c r="C101" s="348"/>
      <c r="D101" s="349"/>
      <c r="E101" s="349"/>
      <c r="F101" s="350"/>
      <c r="G101" s="1211">
        <f t="shared" si="37"/>
        <v>0</v>
      </c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1212">
        <f t="shared" si="32"/>
        <v>0</v>
      </c>
      <c r="S101" s="1213">
        <f t="shared" si="33"/>
        <v>0</v>
      </c>
      <c r="T101" s="341"/>
      <c r="U101" s="381">
        <f t="shared" si="38"/>
        <v>0</v>
      </c>
      <c r="V101" s="342">
        <f t="shared" si="39"/>
        <v>0</v>
      </c>
      <c r="W101" s="342">
        <f t="shared" si="40"/>
        <v>0</v>
      </c>
      <c r="X101" s="342">
        <f t="shared" si="41"/>
        <v>0</v>
      </c>
      <c r="Y101" s="382">
        <f t="shared" si="42"/>
        <v>0</v>
      </c>
      <c r="Z101" s="343">
        <f t="shared" si="43"/>
        <v>0</v>
      </c>
      <c r="AA101" s="343">
        <f t="shared" si="44"/>
        <v>0</v>
      </c>
      <c r="AB101" s="343">
        <f t="shared" si="45"/>
        <v>0</v>
      </c>
      <c r="AC101" s="383">
        <f t="shared" si="46"/>
        <v>0</v>
      </c>
      <c r="AD101" s="344">
        <f t="shared" si="47"/>
        <v>0</v>
      </c>
      <c r="AE101" s="344">
        <f t="shared" si="48"/>
        <v>0</v>
      </c>
      <c r="AF101" s="344">
        <f t="shared" si="49"/>
        <v>0</v>
      </c>
      <c r="AG101" s="345">
        <f t="shared" si="50"/>
        <v>0</v>
      </c>
      <c r="AH101" s="345">
        <f t="shared" si="51"/>
        <v>0</v>
      </c>
      <c r="AI101" s="345">
        <f t="shared" si="52"/>
        <v>0</v>
      </c>
      <c r="AJ101" s="306">
        <f t="shared" si="34"/>
        <v>0</v>
      </c>
      <c r="AK101" s="306">
        <f t="shared" si="35"/>
        <v>0</v>
      </c>
      <c r="AL101" s="306">
        <f t="shared" si="36"/>
        <v>0</v>
      </c>
      <c r="AM101" s="749"/>
      <c r="AN101" s="763"/>
      <c r="AO101" s="780"/>
      <c r="AP101" s="898">
        <f t="shared" si="53"/>
        <v>0</v>
      </c>
      <c r="AQ101" s="896"/>
      <c r="AR101" s="896"/>
      <c r="AS101" s="780"/>
      <c r="AT101" s="780"/>
      <c r="AU101" s="780"/>
      <c r="AV101" s="780"/>
      <c r="AW101" s="780"/>
      <c r="AX101" s="780"/>
      <c r="AY101" s="780"/>
      <c r="AZ101" s="780"/>
      <c r="BA101" s="780"/>
      <c r="BD101" s="334"/>
    </row>
    <row r="102" spans="1:56" x14ac:dyDescent="0.2">
      <c r="A102" s="346"/>
      <c r="B102" s="347"/>
      <c r="C102" s="348"/>
      <c r="D102" s="349"/>
      <c r="E102" s="349"/>
      <c r="F102" s="350"/>
      <c r="G102" s="1211">
        <f t="shared" si="37"/>
        <v>0</v>
      </c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1212">
        <f t="shared" si="32"/>
        <v>0</v>
      </c>
      <c r="S102" s="1213">
        <f t="shared" si="33"/>
        <v>0</v>
      </c>
      <c r="T102" s="341"/>
      <c r="U102" s="381">
        <f t="shared" si="38"/>
        <v>0</v>
      </c>
      <c r="V102" s="342">
        <f t="shared" si="39"/>
        <v>0</v>
      </c>
      <c r="W102" s="342">
        <f t="shared" si="40"/>
        <v>0</v>
      </c>
      <c r="X102" s="342">
        <f t="shared" si="41"/>
        <v>0</v>
      </c>
      <c r="Y102" s="382">
        <f t="shared" si="42"/>
        <v>0</v>
      </c>
      <c r="Z102" s="343">
        <f t="shared" si="43"/>
        <v>0</v>
      </c>
      <c r="AA102" s="343">
        <f t="shared" si="44"/>
        <v>0</v>
      </c>
      <c r="AB102" s="343">
        <f t="shared" si="45"/>
        <v>0</v>
      </c>
      <c r="AC102" s="383">
        <f t="shared" si="46"/>
        <v>0</v>
      </c>
      <c r="AD102" s="344">
        <f t="shared" si="47"/>
        <v>0</v>
      </c>
      <c r="AE102" s="344">
        <f t="shared" si="48"/>
        <v>0</v>
      </c>
      <c r="AF102" s="344">
        <f t="shared" si="49"/>
        <v>0</v>
      </c>
      <c r="AG102" s="345">
        <f t="shared" si="50"/>
        <v>0</v>
      </c>
      <c r="AH102" s="345">
        <f t="shared" si="51"/>
        <v>0</v>
      </c>
      <c r="AI102" s="345">
        <f t="shared" si="52"/>
        <v>0</v>
      </c>
      <c r="AJ102" s="306">
        <f t="shared" si="34"/>
        <v>0</v>
      </c>
      <c r="AK102" s="306">
        <f t="shared" si="35"/>
        <v>0</v>
      </c>
      <c r="AL102" s="306">
        <f t="shared" si="36"/>
        <v>0</v>
      </c>
      <c r="AM102" s="749"/>
      <c r="AN102" s="763"/>
      <c r="AO102" s="780"/>
      <c r="AP102" s="898">
        <f t="shared" si="53"/>
        <v>0</v>
      </c>
      <c r="AQ102" s="896"/>
      <c r="AR102" s="896"/>
      <c r="AS102" s="780"/>
      <c r="AT102" s="780"/>
      <c r="AU102" s="780"/>
      <c r="AV102" s="780"/>
      <c r="AW102" s="780"/>
      <c r="AX102" s="780"/>
      <c r="AY102" s="780"/>
      <c r="AZ102" s="780"/>
      <c r="BA102" s="780"/>
      <c r="BD102" s="334"/>
    </row>
    <row r="103" spans="1:56" x14ac:dyDescent="0.2">
      <c r="A103" s="346"/>
      <c r="B103" s="347"/>
      <c r="C103" s="348"/>
      <c r="D103" s="349"/>
      <c r="E103" s="349"/>
      <c r="F103" s="350"/>
      <c r="G103" s="1211">
        <f t="shared" si="37"/>
        <v>0</v>
      </c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1212">
        <f t="shared" si="32"/>
        <v>0</v>
      </c>
      <c r="S103" s="1213">
        <f t="shared" si="33"/>
        <v>0</v>
      </c>
      <c r="T103" s="341"/>
      <c r="U103" s="381">
        <f t="shared" si="38"/>
        <v>0</v>
      </c>
      <c r="V103" s="342">
        <f t="shared" si="39"/>
        <v>0</v>
      </c>
      <c r="W103" s="342">
        <f t="shared" si="40"/>
        <v>0</v>
      </c>
      <c r="X103" s="342">
        <f t="shared" si="41"/>
        <v>0</v>
      </c>
      <c r="Y103" s="382">
        <f t="shared" si="42"/>
        <v>0</v>
      </c>
      <c r="Z103" s="343">
        <f t="shared" si="43"/>
        <v>0</v>
      </c>
      <c r="AA103" s="343">
        <f t="shared" si="44"/>
        <v>0</v>
      </c>
      <c r="AB103" s="343">
        <f t="shared" si="45"/>
        <v>0</v>
      </c>
      <c r="AC103" s="383">
        <f t="shared" si="46"/>
        <v>0</v>
      </c>
      <c r="AD103" s="344">
        <f t="shared" si="47"/>
        <v>0</v>
      </c>
      <c r="AE103" s="344">
        <f t="shared" si="48"/>
        <v>0</v>
      </c>
      <c r="AF103" s="344">
        <f t="shared" si="49"/>
        <v>0</v>
      </c>
      <c r="AG103" s="345">
        <f t="shared" si="50"/>
        <v>0</v>
      </c>
      <c r="AH103" s="345">
        <f t="shared" si="51"/>
        <v>0</v>
      </c>
      <c r="AI103" s="345">
        <f t="shared" si="52"/>
        <v>0</v>
      </c>
      <c r="AJ103" s="306">
        <f t="shared" si="34"/>
        <v>0</v>
      </c>
      <c r="AK103" s="306">
        <f t="shared" si="35"/>
        <v>0</v>
      </c>
      <c r="AL103" s="306">
        <f t="shared" si="36"/>
        <v>0</v>
      </c>
      <c r="AM103" s="749"/>
      <c r="AN103" s="763"/>
      <c r="AO103" s="780"/>
      <c r="AP103" s="898">
        <f t="shared" si="53"/>
        <v>0</v>
      </c>
      <c r="AQ103" s="896"/>
      <c r="AR103" s="896"/>
      <c r="AS103" s="780"/>
      <c r="AT103" s="780"/>
      <c r="AU103" s="780"/>
      <c r="AV103" s="780"/>
      <c r="AW103" s="780"/>
      <c r="AX103" s="780"/>
      <c r="AY103" s="780"/>
      <c r="AZ103" s="780"/>
      <c r="BA103" s="780"/>
      <c r="BD103" s="334"/>
    </row>
    <row r="104" spans="1:56" x14ac:dyDescent="0.2">
      <c r="A104" s="346"/>
      <c r="B104" s="347"/>
      <c r="C104" s="348"/>
      <c r="D104" s="349"/>
      <c r="E104" s="349"/>
      <c r="F104" s="350"/>
      <c r="G104" s="1211">
        <f t="shared" si="37"/>
        <v>0</v>
      </c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1212">
        <f t="shared" si="32"/>
        <v>0</v>
      </c>
      <c r="S104" s="1213">
        <f t="shared" si="33"/>
        <v>0</v>
      </c>
      <c r="T104" s="341"/>
      <c r="U104" s="381">
        <f t="shared" si="38"/>
        <v>0</v>
      </c>
      <c r="V104" s="342">
        <f t="shared" si="39"/>
        <v>0</v>
      </c>
      <c r="W104" s="342">
        <f t="shared" si="40"/>
        <v>0</v>
      </c>
      <c r="X104" s="342">
        <f t="shared" si="41"/>
        <v>0</v>
      </c>
      <c r="Y104" s="382">
        <f t="shared" si="42"/>
        <v>0</v>
      </c>
      <c r="Z104" s="343">
        <f t="shared" si="43"/>
        <v>0</v>
      </c>
      <c r="AA104" s="343">
        <f t="shared" si="44"/>
        <v>0</v>
      </c>
      <c r="AB104" s="343">
        <f t="shared" si="45"/>
        <v>0</v>
      </c>
      <c r="AC104" s="383">
        <f t="shared" si="46"/>
        <v>0</v>
      </c>
      <c r="AD104" s="344">
        <f t="shared" si="47"/>
        <v>0</v>
      </c>
      <c r="AE104" s="344">
        <f t="shared" si="48"/>
        <v>0</v>
      </c>
      <c r="AF104" s="344">
        <f t="shared" si="49"/>
        <v>0</v>
      </c>
      <c r="AG104" s="345">
        <f t="shared" si="50"/>
        <v>0</v>
      </c>
      <c r="AH104" s="345">
        <f t="shared" si="51"/>
        <v>0</v>
      </c>
      <c r="AI104" s="345">
        <f t="shared" si="52"/>
        <v>0</v>
      </c>
      <c r="AJ104" s="306">
        <f t="shared" si="34"/>
        <v>0</v>
      </c>
      <c r="AK104" s="306">
        <f t="shared" si="35"/>
        <v>0</v>
      </c>
      <c r="AL104" s="306">
        <f t="shared" si="36"/>
        <v>0</v>
      </c>
      <c r="AM104" s="749"/>
      <c r="AN104" s="763"/>
      <c r="AO104" s="780"/>
      <c r="AP104" s="898">
        <f t="shared" si="53"/>
        <v>0</v>
      </c>
      <c r="AQ104" s="896"/>
      <c r="AR104" s="896"/>
      <c r="AS104" s="780"/>
      <c r="AT104" s="780"/>
      <c r="AU104" s="780"/>
      <c r="AV104" s="780"/>
      <c r="AW104" s="780"/>
      <c r="AX104" s="780"/>
      <c r="AY104" s="780"/>
      <c r="AZ104" s="780"/>
      <c r="BA104" s="780"/>
      <c r="BD104" s="334"/>
    </row>
    <row r="105" spans="1:56" x14ac:dyDescent="0.2">
      <c r="A105" s="346"/>
      <c r="B105" s="347"/>
      <c r="C105" s="348"/>
      <c r="D105" s="349"/>
      <c r="E105" s="349"/>
      <c r="F105" s="350"/>
      <c r="G105" s="1211">
        <f t="shared" si="37"/>
        <v>0</v>
      </c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1212">
        <f t="shared" si="32"/>
        <v>0</v>
      </c>
      <c r="S105" s="1213">
        <f t="shared" si="33"/>
        <v>0</v>
      </c>
      <c r="T105" s="341"/>
      <c r="U105" s="381">
        <f t="shared" si="38"/>
        <v>0</v>
      </c>
      <c r="V105" s="342">
        <f t="shared" si="39"/>
        <v>0</v>
      </c>
      <c r="W105" s="342">
        <f t="shared" si="40"/>
        <v>0</v>
      </c>
      <c r="X105" s="342">
        <f t="shared" si="41"/>
        <v>0</v>
      </c>
      <c r="Y105" s="382">
        <f t="shared" si="42"/>
        <v>0</v>
      </c>
      <c r="Z105" s="343">
        <f t="shared" si="43"/>
        <v>0</v>
      </c>
      <c r="AA105" s="343">
        <f t="shared" si="44"/>
        <v>0</v>
      </c>
      <c r="AB105" s="343">
        <f t="shared" si="45"/>
        <v>0</v>
      </c>
      <c r="AC105" s="383">
        <f t="shared" si="46"/>
        <v>0</v>
      </c>
      <c r="AD105" s="344">
        <f t="shared" si="47"/>
        <v>0</v>
      </c>
      <c r="AE105" s="344">
        <f t="shared" si="48"/>
        <v>0</v>
      </c>
      <c r="AF105" s="344">
        <f t="shared" si="49"/>
        <v>0</v>
      </c>
      <c r="AG105" s="345">
        <f t="shared" si="50"/>
        <v>0</v>
      </c>
      <c r="AH105" s="345">
        <f t="shared" si="51"/>
        <v>0</v>
      </c>
      <c r="AI105" s="345">
        <f t="shared" si="52"/>
        <v>0</v>
      </c>
      <c r="AJ105" s="306">
        <f t="shared" si="34"/>
        <v>0</v>
      </c>
      <c r="AK105" s="306">
        <f t="shared" si="35"/>
        <v>0</v>
      </c>
      <c r="AL105" s="306">
        <f t="shared" si="36"/>
        <v>0</v>
      </c>
      <c r="AM105" s="749"/>
      <c r="AN105" s="763"/>
      <c r="AO105" s="780"/>
      <c r="AP105" s="898">
        <f t="shared" si="53"/>
        <v>0</v>
      </c>
      <c r="AQ105" s="896"/>
      <c r="AR105" s="896"/>
      <c r="AS105" s="780"/>
      <c r="AT105" s="780"/>
      <c r="AU105" s="780"/>
      <c r="AV105" s="780"/>
      <c r="AW105" s="780"/>
      <c r="AX105" s="780"/>
      <c r="AY105" s="780"/>
      <c r="AZ105" s="780"/>
      <c r="BA105" s="780"/>
      <c r="BD105" s="334"/>
    </row>
    <row r="106" spans="1:56" x14ac:dyDescent="0.2">
      <c r="A106" s="346"/>
      <c r="B106" s="347"/>
      <c r="C106" s="348"/>
      <c r="D106" s="349"/>
      <c r="E106" s="349"/>
      <c r="F106" s="350"/>
      <c r="G106" s="1211">
        <f t="shared" si="37"/>
        <v>0</v>
      </c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1212">
        <f t="shared" si="32"/>
        <v>0</v>
      </c>
      <c r="S106" s="1213">
        <f t="shared" si="33"/>
        <v>0</v>
      </c>
      <c r="T106" s="341"/>
      <c r="U106" s="381">
        <f t="shared" si="38"/>
        <v>0</v>
      </c>
      <c r="V106" s="342">
        <f t="shared" si="39"/>
        <v>0</v>
      </c>
      <c r="W106" s="342">
        <f t="shared" si="40"/>
        <v>0</v>
      </c>
      <c r="X106" s="342">
        <f t="shared" si="41"/>
        <v>0</v>
      </c>
      <c r="Y106" s="382">
        <f t="shared" si="42"/>
        <v>0</v>
      </c>
      <c r="Z106" s="343">
        <f t="shared" si="43"/>
        <v>0</v>
      </c>
      <c r="AA106" s="343">
        <f t="shared" si="44"/>
        <v>0</v>
      </c>
      <c r="AB106" s="343">
        <f t="shared" si="45"/>
        <v>0</v>
      </c>
      <c r="AC106" s="383">
        <f t="shared" si="46"/>
        <v>0</v>
      </c>
      <c r="AD106" s="344">
        <f t="shared" si="47"/>
        <v>0</v>
      </c>
      <c r="AE106" s="344">
        <f t="shared" si="48"/>
        <v>0</v>
      </c>
      <c r="AF106" s="344">
        <f t="shared" si="49"/>
        <v>0</v>
      </c>
      <c r="AG106" s="345">
        <f t="shared" si="50"/>
        <v>0</v>
      </c>
      <c r="AH106" s="345">
        <f t="shared" si="51"/>
        <v>0</v>
      </c>
      <c r="AI106" s="345">
        <f t="shared" si="52"/>
        <v>0</v>
      </c>
      <c r="AJ106" s="306">
        <f t="shared" si="34"/>
        <v>0</v>
      </c>
      <c r="AK106" s="306">
        <f t="shared" si="35"/>
        <v>0</v>
      </c>
      <c r="AL106" s="306">
        <f t="shared" si="36"/>
        <v>0</v>
      </c>
      <c r="AM106" s="749"/>
      <c r="AN106" s="763"/>
      <c r="AO106" s="780"/>
      <c r="AP106" s="898">
        <f t="shared" si="53"/>
        <v>0</v>
      </c>
      <c r="AQ106" s="896"/>
      <c r="AR106" s="896"/>
      <c r="AS106" s="780"/>
      <c r="AT106" s="780"/>
      <c r="AU106" s="780"/>
      <c r="AV106" s="780"/>
      <c r="AW106" s="780"/>
      <c r="AX106" s="780"/>
      <c r="AY106" s="780"/>
      <c r="AZ106" s="780"/>
      <c r="BA106" s="780"/>
      <c r="BD106" s="334"/>
    </row>
    <row r="107" spans="1:56" x14ac:dyDescent="0.2">
      <c r="A107" s="346"/>
      <c r="B107" s="347"/>
      <c r="C107" s="348"/>
      <c r="D107" s="349"/>
      <c r="E107" s="349"/>
      <c r="F107" s="350"/>
      <c r="G107" s="1211">
        <f t="shared" si="37"/>
        <v>0</v>
      </c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1212">
        <f t="shared" si="32"/>
        <v>0</v>
      </c>
      <c r="S107" s="1213">
        <f t="shared" si="33"/>
        <v>0</v>
      </c>
      <c r="T107" s="341"/>
      <c r="U107" s="381">
        <f t="shared" si="38"/>
        <v>0</v>
      </c>
      <c r="V107" s="342">
        <f t="shared" si="39"/>
        <v>0</v>
      </c>
      <c r="W107" s="342">
        <f t="shared" si="40"/>
        <v>0</v>
      </c>
      <c r="X107" s="342">
        <f t="shared" si="41"/>
        <v>0</v>
      </c>
      <c r="Y107" s="382">
        <f t="shared" si="42"/>
        <v>0</v>
      </c>
      <c r="Z107" s="343">
        <f t="shared" si="43"/>
        <v>0</v>
      </c>
      <c r="AA107" s="343">
        <f t="shared" si="44"/>
        <v>0</v>
      </c>
      <c r="AB107" s="343">
        <f t="shared" si="45"/>
        <v>0</v>
      </c>
      <c r="AC107" s="383">
        <f t="shared" si="46"/>
        <v>0</v>
      </c>
      <c r="AD107" s="344">
        <f t="shared" si="47"/>
        <v>0</v>
      </c>
      <c r="AE107" s="344">
        <f t="shared" si="48"/>
        <v>0</v>
      </c>
      <c r="AF107" s="344">
        <f t="shared" si="49"/>
        <v>0</v>
      </c>
      <c r="AG107" s="345">
        <f t="shared" si="50"/>
        <v>0</v>
      </c>
      <c r="AH107" s="345">
        <f t="shared" si="51"/>
        <v>0</v>
      </c>
      <c r="AI107" s="345">
        <f t="shared" si="52"/>
        <v>0</v>
      </c>
      <c r="AJ107" s="306">
        <f t="shared" si="34"/>
        <v>0</v>
      </c>
      <c r="AK107" s="306">
        <f t="shared" si="35"/>
        <v>0</v>
      </c>
      <c r="AL107" s="306">
        <f t="shared" si="36"/>
        <v>0</v>
      </c>
      <c r="AM107" s="749"/>
      <c r="AN107" s="763"/>
      <c r="AO107" s="780"/>
      <c r="AP107" s="898">
        <f t="shared" si="53"/>
        <v>0</v>
      </c>
      <c r="AQ107" s="896"/>
      <c r="AR107" s="896"/>
      <c r="AS107" s="780"/>
      <c r="AT107" s="780"/>
      <c r="AU107" s="780"/>
      <c r="AV107" s="780"/>
      <c r="AW107" s="780"/>
      <c r="AX107" s="780"/>
      <c r="AY107" s="780"/>
      <c r="AZ107" s="780"/>
      <c r="BA107" s="780"/>
      <c r="BD107" s="334"/>
    </row>
    <row r="108" spans="1:56" x14ac:dyDescent="0.2">
      <c r="A108" s="346"/>
      <c r="B108" s="347"/>
      <c r="C108" s="348"/>
      <c r="D108" s="349"/>
      <c r="E108" s="349"/>
      <c r="F108" s="350"/>
      <c r="G108" s="1211">
        <f t="shared" si="37"/>
        <v>0</v>
      </c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1212">
        <f t="shared" si="32"/>
        <v>0</v>
      </c>
      <c r="S108" s="1213">
        <f t="shared" si="33"/>
        <v>0</v>
      </c>
      <c r="T108" s="341"/>
      <c r="U108" s="381">
        <f t="shared" si="38"/>
        <v>0</v>
      </c>
      <c r="V108" s="342">
        <f t="shared" si="39"/>
        <v>0</v>
      </c>
      <c r="W108" s="342">
        <f t="shared" si="40"/>
        <v>0</v>
      </c>
      <c r="X108" s="342">
        <f t="shared" si="41"/>
        <v>0</v>
      </c>
      <c r="Y108" s="382">
        <f t="shared" si="42"/>
        <v>0</v>
      </c>
      <c r="Z108" s="343">
        <f t="shared" si="43"/>
        <v>0</v>
      </c>
      <c r="AA108" s="343">
        <f t="shared" si="44"/>
        <v>0</v>
      </c>
      <c r="AB108" s="343">
        <f t="shared" si="45"/>
        <v>0</v>
      </c>
      <c r="AC108" s="383">
        <f t="shared" si="46"/>
        <v>0</v>
      </c>
      <c r="AD108" s="344">
        <f t="shared" si="47"/>
        <v>0</v>
      </c>
      <c r="AE108" s="344">
        <f t="shared" si="48"/>
        <v>0</v>
      </c>
      <c r="AF108" s="344">
        <f t="shared" si="49"/>
        <v>0</v>
      </c>
      <c r="AG108" s="345">
        <f t="shared" si="50"/>
        <v>0</v>
      </c>
      <c r="AH108" s="345">
        <f t="shared" si="51"/>
        <v>0</v>
      </c>
      <c r="AI108" s="345">
        <f t="shared" si="52"/>
        <v>0</v>
      </c>
      <c r="AJ108" s="306">
        <f t="shared" si="34"/>
        <v>0</v>
      </c>
      <c r="AK108" s="306">
        <f t="shared" si="35"/>
        <v>0</v>
      </c>
      <c r="AL108" s="306">
        <f t="shared" si="36"/>
        <v>0</v>
      </c>
      <c r="AM108" s="749"/>
      <c r="AN108" s="763"/>
      <c r="AO108" s="780"/>
      <c r="AP108" s="898">
        <f t="shared" si="53"/>
        <v>0</v>
      </c>
      <c r="AQ108" s="896"/>
      <c r="AR108" s="896"/>
      <c r="AS108" s="780"/>
      <c r="AT108" s="780"/>
      <c r="AU108" s="780"/>
      <c r="AV108" s="780"/>
      <c r="AW108" s="780"/>
      <c r="AX108" s="780"/>
      <c r="AY108" s="780"/>
      <c r="AZ108" s="780"/>
      <c r="BA108" s="780"/>
      <c r="BD108" s="351"/>
    </row>
    <row r="109" spans="1:56" x14ac:dyDescent="0.2">
      <c r="A109" s="346"/>
      <c r="B109" s="347"/>
      <c r="C109" s="348"/>
      <c r="D109" s="349"/>
      <c r="E109" s="349"/>
      <c r="F109" s="350"/>
      <c r="G109" s="1211">
        <f t="shared" si="37"/>
        <v>0</v>
      </c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1212">
        <f t="shared" si="32"/>
        <v>0</v>
      </c>
      <c r="S109" s="1213">
        <f t="shared" si="33"/>
        <v>0</v>
      </c>
      <c r="T109" s="341"/>
      <c r="U109" s="381">
        <f t="shared" si="38"/>
        <v>0</v>
      </c>
      <c r="V109" s="342">
        <f t="shared" si="39"/>
        <v>0</v>
      </c>
      <c r="W109" s="342">
        <f t="shared" si="40"/>
        <v>0</v>
      </c>
      <c r="X109" s="342">
        <f t="shared" si="41"/>
        <v>0</v>
      </c>
      <c r="Y109" s="382">
        <f t="shared" si="42"/>
        <v>0</v>
      </c>
      <c r="Z109" s="343">
        <f t="shared" si="43"/>
        <v>0</v>
      </c>
      <c r="AA109" s="343">
        <f t="shared" si="44"/>
        <v>0</v>
      </c>
      <c r="AB109" s="343">
        <f t="shared" si="45"/>
        <v>0</v>
      </c>
      <c r="AC109" s="383">
        <f t="shared" si="46"/>
        <v>0</v>
      </c>
      <c r="AD109" s="344">
        <f t="shared" si="47"/>
        <v>0</v>
      </c>
      <c r="AE109" s="344">
        <f t="shared" si="48"/>
        <v>0</v>
      </c>
      <c r="AF109" s="344">
        <f t="shared" si="49"/>
        <v>0</v>
      </c>
      <c r="AG109" s="345">
        <f t="shared" si="50"/>
        <v>0</v>
      </c>
      <c r="AH109" s="345">
        <f t="shared" si="51"/>
        <v>0</v>
      </c>
      <c r="AI109" s="345">
        <f t="shared" si="52"/>
        <v>0</v>
      </c>
      <c r="AJ109" s="306">
        <f t="shared" si="34"/>
        <v>0</v>
      </c>
      <c r="AK109" s="306">
        <f t="shared" si="35"/>
        <v>0</v>
      </c>
      <c r="AL109" s="306">
        <f t="shared" si="36"/>
        <v>0</v>
      </c>
      <c r="AM109" s="749"/>
      <c r="AN109" s="763"/>
      <c r="AO109" s="780"/>
      <c r="AP109" s="898">
        <f t="shared" si="53"/>
        <v>0</v>
      </c>
      <c r="AQ109" s="896"/>
      <c r="AR109" s="896"/>
      <c r="AS109" s="780"/>
      <c r="AT109" s="780"/>
      <c r="AU109" s="780"/>
      <c r="AV109" s="780"/>
      <c r="AW109" s="780"/>
      <c r="AX109" s="780"/>
      <c r="AY109" s="780"/>
      <c r="AZ109" s="780"/>
      <c r="BA109" s="780"/>
    </row>
    <row r="110" spans="1:56" x14ac:dyDescent="0.2">
      <c r="A110" s="1214" t="s">
        <v>885</v>
      </c>
      <c r="B110" s="1215"/>
      <c r="C110" s="1216"/>
      <c r="D110" s="1217"/>
      <c r="E110" s="1217"/>
      <c r="F110" s="1218"/>
      <c r="G110" s="1219"/>
      <c r="H110" s="1219"/>
      <c r="I110" s="1219"/>
      <c r="J110" s="1219"/>
      <c r="K110" s="1219"/>
      <c r="L110" s="1219"/>
      <c r="M110" s="1219"/>
      <c r="N110" s="1219"/>
      <c r="O110" s="1219"/>
      <c r="P110" s="1219"/>
      <c r="Q110" s="1219"/>
      <c r="R110" s="1220"/>
      <c r="S110" s="1221"/>
      <c r="T110" s="341"/>
      <c r="U110" s="734">
        <f>(IF(AND($B110="PFK/BFK",$C110&gt;0,$F110&gt;0),($G110+$H110),0))</f>
        <v>0</v>
      </c>
      <c r="V110" s="735">
        <f t="shared" si="39"/>
        <v>0</v>
      </c>
      <c r="W110" s="735">
        <f t="shared" si="40"/>
        <v>0</v>
      </c>
      <c r="X110" s="735">
        <f t="shared" si="41"/>
        <v>0</v>
      </c>
      <c r="Y110" s="736">
        <f t="shared" si="42"/>
        <v>0</v>
      </c>
      <c r="Z110" s="737">
        <f t="shared" si="43"/>
        <v>0</v>
      </c>
      <c r="AA110" s="737">
        <f t="shared" si="44"/>
        <v>0</v>
      </c>
      <c r="AB110" s="737">
        <f t="shared" si="45"/>
        <v>0</v>
      </c>
      <c r="AC110" s="738">
        <f t="shared" si="46"/>
        <v>0</v>
      </c>
      <c r="AD110" s="739">
        <f t="shared" si="47"/>
        <v>0</v>
      </c>
      <c r="AE110" s="739">
        <f t="shared" si="48"/>
        <v>0</v>
      </c>
      <c r="AF110" s="739">
        <f t="shared" si="49"/>
        <v>0</v>
      </c>
      <c r="AG110" s="740">
        <f t="shared" si="50"/>
        <v>0</v>
      </c>
      <c r="AH110" s="740">
        <f t="shared" si="51"/>
        <v>0</v>
      </c>
      <c r="AI110" s="740">
        <f t="shared" si="52"/>
        <v>0</v>
      </c>
      <c r="AJ110" s="741">
        <f t="shared" si="34"/>
        <v>0</v>
      </c>
      <c r="AK110" s="741">
        <f t="shared" si="35"/>
        <v>0</v>
      </c>
      <c r="AL110" s="741">
        <f t="shared" si="36"/>
        <v>0</v>
      </c>
      <c r="AM110" s="750"/>
      <c r="AN110" s="764"/>
      <c r="AO110" s="781"/>
      <c r="AP110" s="899">
        <f t="shared" si="53"/>
        <v>0</v>
      </c>
      <c r="AQ110" s="897"/>
      <c r="AR110" s="897"/>
      <c r="AS110" s="781"/>
      <c r="AT110" s="781"/>
      <c r="AU110" s="781"/>
      <c r="AV110" s="781"/>
      <c r="AW110" s="781"/>
      <c r="AX110" s="781"/>
      <c r="AY110" s="781"/>
      <c r="AZ110" s="781"/>
      <c r="BA110" s="781"/>
    </row>
    <row r="111" spans="1:56" x14ac:dyDescent="0.2">
      <c r="A111" s="696"/>
      <c r="B111" s="347"/>
      <c r="C111" s="348"/>
      <c r="D111" s="349"/>
      <c r="E111" s="349"/>
      <c r="F111" s="350"/>
      <c r="G111" s="1211">
        <f t="shared" ref="G111" si="54">IFERROR(F111*C111,"")</f>
        <v>0</v>
      </c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1212">
        <f t="shared" ref="R111:R122" si="55">IFERROR(IF(A111&lt;&gt;"GfB",(SUM(G111:J111,L111,P111)*12+(N111+O111))*(100+$J$12+$J$13)%+((K111+M111+Q111)*12),(SUM(G111:J111,L111,P111)*12+(N111+O111))*(100+$J$15+$J$13)%+((K111+M111+Q111)*12)),0)</f>
        <v>0</v>
      </c>
      <c r="S111" s="1213">
        <f t="shared" ref="S111:S127" si="56">IF(ISERROR(R111/C111),0,(R111/C111))</f>
        <v>0</v>
      </c>
      <c r="T111" s="341"/>
      <c r="U111" s="381">
        <f t="shared" si="38"/>
        <v>0</v>
      </c>
      <c r="V111" s="342">
        <f t="shared" si="39"/>
        <v>0</v>
      </c>
      <c r="W111" s="342">
        <f t="shared" si="40"/>
        <v>0</v>
      </c>
      <c r="X111" s="342">
        <f t="shared" si="41"/>
        <v>0</v>
      </c>
      <c r="Y111" s="382">
        <f t="shared" si="42"/>
        <v>0</v>
      </c>
      <c r="Z111" s="343">
        <f t="shared" si="43"/>
        <v>0</v>
      </c>
      <c r="AA111" s="343">
        <f t="shared" si="44"/>
        <v>0</v>
      </c>
      <c r="AB111" s="343">
        <f t="shared" si="45"/>
        <v>0</v>
      </c>
      <c r="AC111" s="383">
        <f t="shared" si="46"/>
        <v>0</v>
      </c>
      <c r="AD111" s="344">
        <f t="shared" si="47"/>
        <v>0</v>
      </c>
      <c r="AE111" s="344">
        <f t="shared" si="48"/>
        <v>0</v>
      </c>
      <c r="AF111" s="344">
        <f t="shared" si="49"/>
        <v>0</v>
      </c>
      <c r="AG111" s="345">
        <f t="shared" si="50"/>
        <v>0</v>
      </c>
      <c r="AH111" s="345">
        <f t="shared" si="51"/>
        <v>0</v>
      </c>
      <c r="AI111" s="345">
        <f t="shared" si="52"/>
        <v>0</v>
      </c>
      <c r="AJ111" s="306">
        <f t="shared" si="34"/>
        <v>0</v>
      </c>
      <c r="AK111" s="306">
        <f t="shared" si="35"/>
        <v>0</v>
      </c>
      <c r="AL111" s="306">
        <f t="shared" si="36"/>
        <v>0</v>
      </c>
      <c r="AM111" s="749"/>
      <c r="AN111" s="763"/>
      <c r="AO111" s="780"/>
      <c r="AP111" s="898">
        <f t="shared" si="53"/>
        <v>0</v>
      </c>
      <c r="AQ111" s="896"/>
      <c r="AR111" s="896"/>
      <c r="AS111" s="780"/>
      <c r="AT111" s="780"/>
      <c r="AU111" s="780"/>
      <c r="AV111" s="780"/>
      <c r="AW111" s="780"/>
      <c r="AX111" s="780"/>
      <c r="AY111" s="780"/>
      <c r="AZ111" s="780"/>
      <c r="BA111" s="780"/>
    </row>
    <row r="112" spans="1:56" x14ac:dyDescent="0.2">
      <c r="A112" s="696"/>
      <c r="B112" s="347"/>
      <c r="C112" s="348"/>
      <c r="D112" s="349"/>
      <c r="E112" s="349"/>
      <c r="F112" s="350"/>
      <c r="G112" s="1211">
        <f t="shared" ref="G112:G117" si="57">IFERROR(F112*C112,"")</f>
        <v>0</v>
      </c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1212">
        <f t="shared" si="55"/>
        <v>0</v>
      </c>
      <c r="S112" s="1213">
        <f t="shared" si="56"/>
        <v>0</v>
      </c>
      <c r="T112" s="341"/>
      <c r="U112" s="381">
        <f t="shared" si="38"/>
        <v>0</v>
      </c>
      <c r="V112" s="342">
        <f t="shared" si="39"/>
        <v>0</v>
      </c>
      <c r="W112" s="342">
        <f t="shared" si="40"/>
        <v>0</v>
      </c>
      <c r="X112" s="342">
        <f t="shared" si="41"/>
        <v>0</v>
      </c>
      <c r="Y112" s="382">
        <f t="shared" si="42"/>
        <v>0</v>
      </c>
      <c r="Z112" s="343">
        <f t="shared" si="43"/>
        <v>0</v>
      </c>
      <c r="AA112" s="343">
        <f t="shared" si="44"/>
        <v>0</v>
      </c>
      <c r="AB112" s="343">
        <f t="shared" si="45"/>
        <v>0</v>
      </c>
      <c r="AC112" s="383">
        <f t="shared" si="46"/>
        <v>0</v>
      </c>
      <c r="AD112" s="344">
        <f t="shared" si="47"/>
        <v>0</v>
      </c>
      <c r="AE112" s="344">
        <f t="shared" si="48"/>
        <v>0</v>
      </c>
      <c r="AF112" s="344">
        <f t="shared" si="49"/>
        <v>0</v>
      </c>
      <c r="AG112" s="345">
        <f t="shared" si="50"/>
        <v>0</v>
      </c>
      <c r="AH112" s="345">
        <f t="shared" si="51"/>
        <v>0</v>
      </c>
      <c r="AI112" s="345">
        <f t="shared" si="52"/>
        <v>0</v>
      </c>
      <c r="AJ112" s="306">
        <f t="shared" si="34"/>
        <v>0</v>
      </c>
      <c r="AK112" s="306">
        <f t="shared" si="35"/>
        <v>0</v>
      </c>
      <c r="AL112" s="306">
        <f t="shared" si="36"/>
        <v>0</v>
      </c>
      <c r="AM112" s="749"/>
      <c r="AN112" s="763"/>
      <c r="AO112" s="780"/>
      <c r="AP112" s="898">
        <f t="shared" si="53"/>
        <v>0</v>
      </c>
      <c r="AQ112" s="896"/>
      <c r="AR112" s="896"/>
      <c r="AS112" s="780"/>
      <c r="AT112" s="780"/>
      <c r="AU112" s="780"/>
      <c r="AV112" s="780"/>
      <c r="AW112" s="780"/>
      <c r="AX112" s="780"/>
      <c r="AY112" s="780"/>
      <c r="AZ112" s="780"/>
      <c r="BA112" s="780"/>
    </row>
    <row r="113" spans="1:58" x14ac:dyDescent="0.2">
      <c r="A113" s="696"/>
      <c r="B113" s="347"/>
      <c r="C113" s="348"/>
      <c r="D113" s="349"/>
      <c r="E113" s="349"/>
      <c r="F113" s="350"/>
      <c r="G113" s="1211">
        <f t="shared" si="57"/>
        <v>0</v>
      </c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1212">
        <f t="shared" si="55"/>
        <v>0</v>
      </c>
      <c r="S113" s="1213">
        <f t="shared" si="56"/>
        <v>0</v>
      </c>
      <c r="T113" s="341"/>
      <c r="U113" s="381">
        <f t="shared" si="38"/>
        <v>0</v>
      </c>
      <c r="V113" s="342">
        <f t="shared" si="39"/>
        <v>0</v>
      </c>
      <c r="W113" s="342">
        <f t="shared" si="40"/>
        <v>0</v>
      </c>
      <c r="X113" s="342">
        <f t="shared" si="41"/>
        <v>0</v>
      </c>
      <c r="Y113" s="382">
        <f t="shared" si="42"/>
        <v>0</v>
      </c>
      <c r="Z113" s="343">
        <f t="shared" si="43"/>
        <v>0</v>
      </c>
      <c r="AA113" s="343">
        <f t="shared" si="44"/>
        <v>0</v>
      </c>
      <c r="AB113" s="343">
        <f t="shared" si="45"/>
        <v>0</v>
      </c>
      <c r="AC113" s="383">
        <f t="shared" si="46"/>
        <v>0</v>
      </c>
      <c r="AD113" s="344">
        <f t="shared" si="47"/>
        <v>0</v>
      </c>
      <c r="AE113" s="344">
        <f t="shared" si="48"/>
        <v>0</v>
      </c>
      <c r="AF113" s="344">
        <f t="shared" si="49"/>
        <v>0</v>
      </c>
      <c r="AG113" s="345">
        <f t="shared" si="50"/>
        <v>0</v>
      </c>
      <c r="AH113" s="345">
        <f t="shared" si="51"/>
        <v>0</v>
      </c>
      <c r="AI113" s="345">
        <f t="shared" si="52"/>
        <v>0</v>
      </c>
      <c r="AJ113" s="306">
        <f t="shared" si="34"/>
        <v>0</v>
      </c>
      <c r="AK113" s="306">
        <f t="shared" si="35"/>
        <v>0</v>
      </c>
      <c r="AL113" s="306">
        <f t="shared" si="36"/>
        <v>0</v>
      </c>
      <c r="AM113" s="749"/>
      <c r="AN113" s="763"/>
      <c r="AO113" s="780"/>
      <c r="AP113" s="898">
        <f t="shared" si="53"/>
        <v>0</v>
      </c>
      <c r="AQ113" s="896"/>
      <c r="AR113" s="896"/>
      <c r="AS113" s="780"/>
      <c r="AT113" s="780"/>
      <c r="AU113" s="780"/>
      <c r="AV113" s="780"/>
      <c r="AW113" s="780"/>
      <c r="AX113" s="780"/>
      <c r="AY113" s="780"/>
      <c r="AZ113" s="780"/>
      <c r="BA113" s="780"/>
    </row>
    <row r="114" spans="1:58" x14ac:dyDescent="0.2">
      <c r="A114" s="696"/>
      <c r="B114" s="347"/>
      <c r="C114" s="348"/>
      <c r="D114" s="349"/>
      <c r="E114" s="349"/>
      <c r="F114" s="350"/>
      <c r="G114" s="1211">
        <f t="shared" si="57"/>
        <v>0</v>
      </c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1212">
        <f t="shared" si="55"/>
        <v>0</v>
      </c>
      <c r="S114" s="1213">
        <f t="shared" si="56"/>
        <v>0</v>
      </c>
      <c r="T114" s="341"/>
      <c r="U114" s="381">
        <f t="shared" si="38"/>
        <v>0</v>
      </c>
      <c r="V114" s="342">
        <f t="shared" si="39"/>
        <v>0</v>
      </c>
      <c r="W114" s="342">
        <f t="shared" si="40"/>
        <v>0</v>
      </c>
      <c r="X114" s="342">
        <f t="shared" si="41"/>
        <v>0</v>
      </c>
      <c r="Y114" s="382">
        <f t="shared" si="42"/>
        <v>0</v>
      </c>
      <c r="Z114" s="343">
        <f t="shared" si="43"/>
        <v>0</v>
      </c>
      <c r="AA114" s="343">
        <f t="shared" si="44"/>
        <v>0</v>
      </c>
      <c r="AB114" s="343">
        <f t="shared" si="45"/>
        <v>0</v>
      </c>
      <c r="AC114" s="383">
        <f t="shared" si="46"/>
        <v>0</v>
      </c>
      <c r="AD114" s="344">
        <f t="shared" si="47"/>
        <v>0</v>
      </c>
      <c r="AE114" s="344">
        <f t="shared" si="48"/>
        <v>0</v>
      </c>
      <c r="AF114" s="344">
        <f t="shared" si="49"/>
        <v>0</v>
      </c>
      <c r="AG114" s="345">
        <f t="shared" si="50"/>
        <v>0</v>
      </c>
      <c r="AH114" s="345">
        <f t="shared" si="51"/>
        <v>0</v>
      </c>
      <c r="AI114" s="345">
        <f t="shared" si="52"/>
        <v>0</v>
      </c>
      <c r="AJ114" s="306">
        <f t="shared" si="34"/>
        <v>0</v>
      </c>
      <c r="AK114" s="306">
        <f t="shared" si="35"/>
        <v>0</v>
      </c>
      <c r="AL114" s="306">
        <f t="shared" si="36"/>
        <v>0</v>
      </c>
      <c r="AM114" s="749"/>
      <c r="AN114" s="763"/>
      <c r="AO114" s="780"/>
      <c r="AP114" s="898">
        <f t="shared" si="53"/>
        <v>0</v>
      </c>
      <c r="AQ114" s="896"/>
      <c r="AR114" s="896"/>
      <c r="AS114" s="780"/>
      <c r="AT114" s="780"/>
      <c r="AU114" s="780"/>
      <c r="AV114" s="780"/>
      <c r="AW114" s="780"/>
      <c r="AX114" s="780"/>
      <c r="AY114" s="780"/>
      <c r="AZ114" s="780"/>
      <c r="BA114" s="780"/>
    </row>
    <row r="115" spans="1:58" x14ac:dyDescent="0.2">
      <c r="A115" s="696"/>
      <c r="B115" s="347"/>
      <c r="C115" s="348"/>
      <c r="D115" s="349"/>
      <c r="E115" s="349"/>
      <c r="F115" s="350"/>
      <c r="G115" s="1211">
        <f t="shared" si="57"/>
        <v>0</v>
      </c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1212">
        <f t="shared" si="55"/>
        <v>0</v>
      </c>
      <c r="S115" s="1213">
        <f t="shared" si="56"/>
        <v>0</v>
      </c>
      <c r="T115" s="341"/>
      <c r="U115" s="381">
        <f t="shared" si="38"/>
        <v>0</v>
      </c>
      <c r="V115" s="342">
        <f t="shared" si="39"/>
        <v>0</v>
      </c>
      <c r="W115" s="342">
        <f t="shared" si="40"/>
        <v>0</v>
      </c>
      <c r="X115" s="342">
        <f t="shared" si="41"/>
        <v>0</v>
      </c>
      <c r="Y115" s="382">
        <f t="shared" si="42"/>
        <v>0</v>
      </c>
      <c r="Z115" s="343">
        <f t="shared" si="43"/>
        <v>0</v>
      </c>
      <c r="AA115" s="343">
        <f t="shared" si="44"/>
        <v>0</v>
      </c>
      <c r="AB115" s="343">
        <f t="shared" si="45"/>
        <v>0</v>
      </c>
      <c r="AC115" s="383">
        <f t="shared" si="46"/>
        <v>0</v>
      </c>
      <c r="AD115" s="344">
        <f t="shared" si="47"/>
        <v>0</v>
      </c>
      <c r="AE115" s="344">
        <f t="shared" si="48"/>
        <v>0</v>
      </c>
      <c r="AF115" s="344">
        <f t="shared" si="49"/>
        <v>0</v>
      </c>
      <c r="AG115" s="345">
        <f t="shared" si="50"/>
        <v>0</v>
      </c>
      <c r="AH115" s="345">
        <f t="shared" si="51"/>
        <v>0</v>
      </c>
      <c r="AI115" s="345">
        <f t="shared" si="52"/>
        <v>0</v>
      </c>
      <c r="AJ115" s="306">
        <f t="shared" si="34"/>
        <v>0</v>
      </c>
      <c r="AK115" s="306">
        <f t="shared" si="35"/>
        <v>0</v>
      </c>
      <c r="AL115" s="306">
        <f t="shared" si="36"/>
        <v>0</v>
      </c>
      <c r="AM115" s="749"/>
      <c r="AN115" s="763"/>
      <c r="AO115" s="780"/>
      <c r="AP115" s="898">
        <f t="shared" si="53"/>
        <v>0</v>
      </c>
      <c r="AQ115" s="896"/>
      <c r="AR115" s="896"/>
      <c r="AS115" s="780"/>
      <c r="AT115" s="780"/>
      <c r="AU115" s="780"/>
      <c r="AV115" s="780"/>
      <c r="AW115" s="780"/>
      <c r="AX115" s="780"/>
      <c r="AY115" s="780"/>
      <c r="AZ115" s="780"/>
      <c r="BA115" s="780"/>
    </row>
    <row r="116" spans="1:58" x14ac:dyDescent="0.2">
      <c r="A116" s="696"/>
      <c r="B116" s="347"/>
      <c r="C116" s="348"/>
      <c r="D116" s="349"/>
      <c r="E116" s="349"/>
      <c r="F116" s="350"/>
      <c r="G116" s="1211">
        <f t="shared" si="57"/>
        <v>0</v>
      </c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1212">
        <f t="shared" si="55"/>
        <v>0</v>
      </c>
      <c r="S116" s="1213">
        <f t="shared" si="56"/>
        <v>0</v>
      </c>
      <c r="T116" s="341"/>
      <c r="U116" s="381">
        <f t="shared" si="38"/>
        <v>0</v>
      </c>
      <c r="V116" s="342">
        <f t="shared" si="39"/>
        <v>0</v>
      </c>
      <c r="W116" s="342">
        <f t="shared" si="40"/>
        <v>0</v>
      </c>
      <c r="X116" s="342">
        <f t="shared" si="41"/>
        <v>0</v>
      </c>
      <c r="Y116" s="382">
        <f t="shared" si="42"/>
        <v>0</v>
      </c>
      <c r="Z116" s="343">
        <f t="shared" si="43"/>
        <v>0</v>
      </c>
      <c r="AA116" s="343">
        <f t="shared" si="44"/>
        <v>0</v>
      </c>
      <c r="AB116" s="343">
        <f t="shared" si="45"/>
        <v>0</v>
      </c>
      <c r="AC116" s="383">
        <f t="shared" si="46"/>
        <v>0</v>
      </c>
      <c r="AD116" s="344">
        <f t="shared" si="47"/>
        <v>0</v>
      </c>
      <c r="AE116" s="344">
        <f t="shared" si="48"/>
        <v>0</v>
      </c>
      <c r="AF116" s="344">
        <f t="shared" si="49"/>
        <v>0</v>
      </c>
      <c r="AG116" s="345">
        <f t="shared" si="50"/>
        <v>0</v>
      </c>
      <c r="AH116" s="345">
        <f t="shared" si="51"/>
        <v>0</v>
      </c>
      <c r="AI116" s="345">
        <f t="shared" si="52"/>
        <v>0</v>
      </c>
      <c r="AJ116" s="306">
        <f t="shared" si="34"/>
        <v>0</v>
      </c>
      <c r="AK116" s="306">
        <f t="shared" si="35"/>
        <v>0</v>
      </c>
      <c r="AL116" s="306">
        <f t="shared" si="36"/>
        <v>0</v>
      </c>
      <c r="AM116" s="749"/>
      <c r="AN116" s="763"/>
      <c r="AO116" s="780"/>
      <c r="AP116" s="898">
        <f t="shared" si="53"/>
        <v>0</v>
      </c>
      <c r="AQ116" s="896"/>
      <c r="AR116" s="896"/>
      <c r="AS116" s="780"/>
      <c r="AT116" s="780"/>
      <c r="AU116" s="780"/>
      <c r="AV116" s="780"/>
      <c r="AW116" s="780"/>
      <c r="AX116" s="780"/>
      <c r="AY116" s="780"/>
      <c r="AZ116" s="780"/>
      <c r="BA116" s="780"/>
    </row>
    <row r="117" spans="1:58" x14ac:dyDescent="0.2">
      <c r="A117" s="696"/>
      <c r="B117" s="347"/>
      <c r="C117" s="348"/>
      <c r="D117" s="349"/>
      <c r="E117" s="349"/>
      <c r="F117" s="350"/>
      <c r="G117" s="1211">
        <f t="shared" si="57"/>
        <v>0</v>
      </c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1212">
        <f t="shared" si="55"/>
        <v>0</v>
      </c>
      <c r="S117" s="1213">
        <f t="shared" si="56"/>
        <v>0</v>
      </c>
      <c r="T117" s="341"/>
      <c r="U117" s="381">
        <f t="shared" si="38"/>
        <v>0</v>
      </c>
      <c r="V117" s="342">
        <f t="shared" si="39"/>
        <v>0</v>
      </c>
      <c r="W117" s="342">
        <f t="shared" si="40"/>
        <v>0</v>
      </c>
      <c r="X117" s="342">
        <f t="shared" si="41"/>
        <v>0</v>
      </c>
      <c r="Y117" s="382">
        <f t="shared" si="42"/>
        <v>0</v>
      </c>
      <c r="Z117" s="343">
        <f t="shared" si="43"/>
        <v>0</v>
      </c>
      <c r="AA117" s="343">
        <f t="shared" si="44"/>
        <v>0</v>
      </c>
      <c r="AB117" s="343">
        <f t="shared" si="45"/>
        <v>0</v>
      </c>
      <c r="AC117" s="383">
        <f t="shared" si="46"/>
        <v>0</v>
      </c>
      <c r="AD117" s="344">
        <f t="shared" si="47"/>
        <v>0</v>
      </c>
      <c r="AE117" s="344">
        <f t="shared" si="48"/>
        <v>0</v>
      </c>
      <c r="AF117" s="344">
        <f t="shared" si="49"/>
        <v>0</v>
      </c>
      <c r="AG117" s="345">
        <f t="shared" si="50"/>
        <v>0</v>
      </c>
      <c r="AH117" s="345">
        <f t="shared" si="51"/>
        <v>0</v>
      </c>
      <c r="AI117" s="345">
        <f t="shared" si="52"/>
        <v>0</v>
      </c>
      <c r="AJ117" s="306">
        <f t="shared" si="34"/>
        <v>0</v>
      </c>
      <c r="AK117" s="306">
        <f t="shared" si="35"/>
        <v>0</v>
      </c>
      <c r="AL117" s="306">
        <f t="shared" si="36"/>
        <v>0</v>
      </c>
      <c r="AM117" s="749"/>
      <c r="AN117" s="763"/>
      <c r="AO117" s="780"/>
      <c r="AP117" s="898">
        <f t="shared" si="53"/>
        <v>0</v>
      </c>
      <c r="AQ117" s="896"/>
      <c r="AR117" s="896"/>
      <c r="AS117" s="780"/>
      <c r="AT117" s="780"/>
      <c r="AU117" s="780"/>
      <c r="AV117" s="780"/>
      <c r="AW117" s="780"/>
      <c r="AX117" s="780"/>
      <c r="AY117" s="780"/>
      <c r="AZ117" s="780"/>
      <c r="BA117" s="780"/>
    </row>
    <row r="118" spans="1:58" x14ac:dyDescent="0.2">
      <c r="A118" s="696"/>
      <c r="B118" s="347"/>
      <c r="C118" s="348"/>
      <c r="D118" s="349"/>
      <c r="E118" s="349"/>
      <c r="F118" s="350"/>
      <c r="G118" s="1211">
        <f t="shared" si="37"/>
        <v>0</v>
      </c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1212">
        <f t="shared" si="55"/>
        <v>0</v>
      </c>
      <c r="S118" s="1213">
        <f t="shared" si="56"/>
        <v>0</v>
      </c>
      <c r="T118" s="341"/>
      <c r="U118" s="381">
        <f t="shared" si="38"/>
        <v>0</v>
      </c>
      <c r="V118" s="342">
        <f t="shared" si="39"/>
        <v>0</v>
      </c>
      <c r="W118" s="342">
        <f t="shared" si="40"/>
        <v>0</v>
      </c>
      <c r="X118" s="342">
        <f t="shared" si="41"/>
        <v>0</v>
      </c>
      <c r="Y118" s="382">
        <f t="shared" si="42"/>
        <v>0</v>
      </c>
      <c r="Z118" s="343">
        <f t="shared" si="43"/>
        <v>0</v>
      </c>
      <c r="AA118" s="343">
        <f t="shared" si="44"/>
        <v>0</v>
      </c>
      <c r="AB118" s="343">
        <f t="shared" si="45"/>
        <v>0</v>
      </c>
      <c r="AC118" s="383">
        <f t="shared" si="46"/>
        <v>0</v>
      </c>
      <c r="AD118" s="344">
        <f t="shared" si="47"/>
        <v>0</v>
      </c>
      <c r="AE118" s="344">
        <f t="shared" si="48"/>
        <v>0</v>
      </c>
      <c r="AF118" s="344">
        <f t="shared" si="49"/>
        <v>0</v>
      </c>
      <c r="AG118" s="345">
        <f t="shared" si="50"/>
        <v>0</v>
      </c>
      <c r="AH118" s="345">
        <f t="shared" si="51"/>
        <v>0</v>
      </c>
      <c r="AI118" s="345">
        <f t="shared" si="52"/>
        <v>0</v>
      </c>
      <c r="AJ118" s="306">
        <f t="shared" si="34"/>
        <v>0</v>
      </c>
      <c r="AK118" s="306">
        <f t="shared" si="35"/>
        <v>0</v>
      </c>
      <c r="AL118" s="306">
        <f t="shared" si="36"/>
        <v>0</v>
      </c>
      <c r="AM118" s="749"/>
      <c r="AN118" s="763"/>
      <c r="AO118" s="780"/>
      <c r="AP118" s="898">
        <f t="shared" si="53"/>
        <v>0</v>
      </c>
      <c r="AQ118" s="896"/>
      <c r="AR118" s="896"/>
      <c r="AS118" s="780"/>
      <c r="AT118" s="780"/>
      <c r="AU118" s="780"/>
      <c r="AV118" s="780"/>
      <c r="AW118" s="780"/>
      <c r="AX118" s="780"/>
      <c r="AY118" s="780"/>
      <c r="AZ118" s="780"/>
      <c r="BA118" s="780"/>
    </row>
    <row r="119" spans="1:58" x14ac:dyDescent="0.2">
      <c r="A119" s="346"/>
      <c r="B119" s="347"/>
      <c r="C119" s="348"/>
      <c r="D119" s="349"/>
      <c r="E119" s="349"/>
      <c r="F119" s="350"/>
      <c r="G119" s="1211">
        <f t="shared" si="37"/>
        <v>0</v>
      </c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1212">
        <f t="shared" si="55"/>
        <v>0</v>
      </c>
      <c r="S119" s="1213">
        <f t="shared" si="56"/>
        <v>0</v>
      </c>
      <c r="T119" s="341"/>
      <c r="U119" s="381">
        <f t="shared" si="38"/>
        <v>0</v>
      </c>
      <c r="V119" s="342">
        <f t="shared" si="39"/>
        <v>0</v>
      </c>
      <c r="W119" s="342">
        <f t="shared" si="40"/>
        <v>0</v>
      </c>
      <c r="X119" s="342">
        <f t="shared" si="41"/>
        <v>0</v>
      </c>
      <c r="Y119" s="382">
        <f t="shared" si="42"/>
        <v>0</v>
      </c>
      <c r="Z119" s="343">
        <f t="shared" si="43"/>
        <v>0</v>
      </c>
      <c r="AA119" s="343">
        <f t="shared" si="44"/>
        <v>0</v>
      </c>
      <c r="AB119" s="343">
        <f t="shared" si="45"/>
        <v>0</v>
      </c>
      <c r="AC119" s="383">
        <f t="shared" si="46"/>
        <v>0</v>
      </c>
      <c r="AD119" s="344">
        <f t="shared" si="47"/>
        <v>0</v>
      </c>
      <c r="AE119" s="344">
        <f t="shared" si="48"/>
        <v>0</v>
      </c>
      <c r="AF119" s="344">
        <f t="shared" si="49"/>
        <v>0</v>
      </c>
      <c r="AG119" s="345">
        <f t="shared" si="50"/>
        <v>0</v>
      </c>
      <c r="AH119" s="345">
        <f t="shared" si="51"/>
        <v>0</v>
      </c>
      <c r="AI119" s="345">
        <f t="shared" si="52"/>
        <v>0</v>
      </c>
      <c r="AJ119" s="306">
        <f t="shared" si="34"/>
        <v>0</v>
      </c>
      <c r="AK119" s="306">
        <f t="shared" si="35"/>
        <v>0</v>
      </c>
      <c r="AL119" s="306">
        <f t="shared" si="36"/>
        <v>0</v>
      </c>
      <c r="AM119" s="749"/>
      <c r="AN119" s="763"/>
      <c r="AO119" s="780"/>
      <c r="AP119" s="898">
        <f t="shared" si="53"/>
        <v>0</v>
      </c>
      <c r="AQ119" s="896"/>
      <c r="AR119" s="896"/>
      <c r="AS119" s="780"/>
      <c r="AT119" s="780"/>
      <c r="AU119" s="780"/>
      <c r="AV119" s="780"/>
      <c r="AW119" s="780"/>
      <c r="AX119" s="780"/>
      <c r="AY119" s="780"/>
      <c r="AZ119" s="780"/>
      <c r="BA119" s="780"/>
    </row>
    <row r="120" spans="1:58" x14ac:dyDescent="0.2">
      <c r="A120" s="725"/>
      <c r="B120" s="347"/>
      <c r="C120" s="348"/>
      <c r="D120" s="349"/>
      <c r="E120" s="349"/>
      <c r="F120" s="350"/>
      <c r="G120" s="1211">
        <f t="shared" si="37"/>
        <v>0</v>
      </c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1212">
        <f t="shared" si="55"/>
        <v>0</v>
      </c>
      <c r="S120" s="1213">
        <f t="shared" si="56"/>
        <v>0</v>
      </c>
      <c r="T120" s="341"/>
      <c r="U120" s="381">
        <f t="shared" si="38"/>
        <v>0</v>
      </c>
      <c r="V120" s="342">
        <f t="shared" si="39"/>
        <v>0</v>
      </c>
      <c r="W120" s="342">
        <f t="shared" si="40"/>
        <v>0</v>
      </c>
      <c r="X120" s="342">
        <f t="shared" si="41"/>
        <v>0</v>
      </c>
      <c r="Y120" s="382">
        <f t="shared" si="42"/>
        <v>0</v>
      </c>
      <c r="Z120" s="343">
        <f t="shared" si="43"/>
        <v>0</v>
      </c>
      <c r="AA120" s="343">
        <f t="shared" si="44"/>
        <v>0</v>
      </c>
      <c r="AB120" s="343">
        <f t="shared" si="45"/>
        <v>0</v>
      </c>
      <c r="AC120" s="383">
        <f t="shared" si="46"/>
        <v>0</v>
      </c>
      <c r="AD120" s="344">
        <f t="shared" si="47"/>
        <v>0</v>
      </c>
      <c r="AE120" s="344">
        <f t="shared" si="48"/>
        <v>0</v>
      </c>
      <c r="AF120" s="344">
        <f t="shared" si="49"/>
        <v>0</v>
      </c>
      <c r="AG120" s="345">
        <f t="shared" si="50"/>
        <v>0</v>
      </c>
      <c r="AH120" s="345">
        <f t="shared" si="51"/>
        <v>0</v>
      </c>
      <c r="AI120" s="345">
        <f t="shared" si="52"/>
        <v>0</v>
      </c>
      <c r="AJ120" s="306">
        <f t="shared" si="34"/>
        <v>0</v>
      </c>
      <c r="AK120" s="306">
        <f t="shared" si="35"/>
        <v>0</v>
      </c>
      <c r="AL120" s="306">
        <f t="shared" si="36"/>
        <v>0</v>
      </c>
      <c r="AM120" s="749"/>
      <c r="AN120" s="763"/>
      <c r="AO120" s="780"/>
      <c r="AP120" s="898">
        <f t="shared" si="53"/>
        <v>0</v>
      </c>
      <c r="AQ120" s="896"/>
      <c r="AR120" s="896"/>
      <c r="AS120" s="780"/>
      <c r="AT120" s="780"/>
      <c r="AU120" s="780"/>
      <c r="AV120" s="780"/>
      <c r="AW120" s="780"/>
      <c r="AX120" s="780"/>
      <c r="AY120" s="780"/>
      <c r="AZ120" s="780"/>
      <c r="BA120" s="780"/>
      <c r="BF120" s="440"/>
    </row>
    <row r="121" spans="1:58" x14ac:dyDescent="0.2">
      <c r="A121" s="346"/>
      <c r="B121" s="347"/>
      <c r="C121" s="348"/>
      <c r="D121" s="349"/>
      <c r="E121" s="349"/>
      <c r="F121" s="350"/>
      <c r="G121" s="1211">
        <f t="shared" si="37"/>
        <v>0</v>
      </c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1212">
        <f t="shared" si="55"/>
        <v>0</v>
      </c>
      <c r="S121" s="1213">
        <f t="shared" si="56"/>
        <v>0</v>
      </c>
      <c r="T121" s="341"/>
      <c r="U121" s="381">
        <f t="shared" si="38"/>
        <v>0</v>
      </c>
      <c r="V121" s="342">
        <f t="shared" si="39"/>
        <v>0</v>
      </c>
      <c r="W121" s="342">
        <f t="shared" si="40"/>
        <v>0</v>
      </c>
      <c r="X121" s="342">
        <f t="shared" si="41"/>
        <v>0</v>
      </c>
      <c r="Y121" s="382">
        <f t="shared" si="42"/>
        <v>0</v>
      </c>
      <c r="Z121" s="343">
        <f t="shared" si="43"/>
        <v>0</v>
      </c>
      <c r="AA121" s="343">
        <f t="shared" si="44"/>
        <v>0</v>
      </c>
      <c r="AB121" s="343">
        <f t="shared" si="45"/>
        <v>0</v>
      </c>
      <c r="AC121" s="383">
        <f t="shared" si="46"/>
        <v>0</v>
      </c>
      <c r="AD121" s="344">
        <f t="shared" si="47"/>
        <v>0</v>
      </c>
      <c r="AE121" s="344">
        <f t="shared" si="48"/>
        <v>0</v>
      </c>
      <c r="AF121" s="344">
        <f t="shared" si="49"/>
        <v>0</v>
      </c>
      <c r="AG121" s="345">
        <f t="shared" si="50"/>
        <v>0</v>
      </c>
      <c r="AH121" s="345">
        <f t="shared" si="51"/>
        <v>0</v>
      </c>
      <c r="AI121" s="345">
        <f t="shared" si="52"/>
        <v>0</v>
      </c>
      <c r="AJ121" s="306">
        <f t="shared" si="34"/>
        <v>0</v>
      </c>
      <c r="AK121" s="306">
        <f t="shared" si="35"/>
        <v>0</v>
      </c>
      <c r="AL121" s="306">
        <f t="shared" si="36"/>
        <v>0</v>
      </c>
      <c r="AM121" s="749"/>
      <c r="AN121" s="763"/>
      <c r="AO121" s="780"/>
      <c r="AP121" s="898">
        <f t="shared" si="53"/>
        <v>0</v>
      </c>
      <c r="AQ121" s="896"/>
      <c r="AR121" s="896"/>
      <c r="AS121" s="780"/>
      <c r="AT121" s="780"/>
      <c r="AU121" s="780"/>
      <c r="AV121" s="780"/>
      <c r="AW121" s="780"/>
      <c r="AX121" s="780"/>
      <c r="AY121" s="780"/>
      <c r="AZ121" s="780"/>
      <c r="BA121" s="780"/>
      <c r="BF121" s="440"/>
    </row>
    <row r="122" spans="1:58" x14ac:dyDescent="0.2">
      <c r="A122" s="346"/>
      <c r="B122" s="347"/>
      <c r="C122" s="348"/>
      <c r="D122" s="349"/>
      <c r="E122" s="349"/>
      <c r="F122" s="350"/>
      <c r="G122" s="1211">
        <f t="shared" si="37"/>
        <v>0</v>
      </c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1212">
        <f t="shared" si="55"/>
        <v>0</v>
      </c>
      <c r="S122" s="1213">
        <f t="shared" si="56"/>
        <v>0</v>
      </c>
      <c r="T122" s="341"/>
      <c r="U122" s="381">
        <f t="shared" si="38"/>
        <v>0</v>
      </c>
      <c r="V122" s="342">
        <f t="shared" si="39"/>
        <v>0</v>
      </c>
      <c r="W122" s="342">
        <f t="shared" si="40"/>
        <v>0</v>
      </c>
      <c r="X122" s="342">
        <f t="shared" si="41"/>
        <v>0</v>
      </c>
      <c r="Y122" s="382">
        <f t="shared" si="42"/>
        <v>0</v>
      </c>
      <c r="Z122" s="343">
        <f t="shared" si="43"/>
        <v>0</v>
      </c>
      <c r="AA122" s="343">
        <f t="shared" si="44"/>
        <v>0</v>
      </c>
      <c r="AB122" s="343">
        <f t="shared" si="45"/>
        <v>0</v>
      </c>
      <c r="AC122" s="383">
        <f t="shared" si="46"/>
        <v>0</v>
      </c>
      <c r="AD122" s="344">
        <f t="shared" si="47"/>
        <v>0</v>
      </c>
      <c r="AE122" s="344">
        <f t="shared" si="48"/>
        <v>0</v>
      </c>
      <c r="AF122" s="344">
        <f t="shared" si="49"/>
        <v>0</v>
      </c>
      <c r="AG122" s="345">
        <f t="shared" si="50"/>
        <v>0</v>
      </c>
      <c r="AH122" s="345">
        <f t="shared" si="51"/>
        <v>0</v>
      </c>
      <c r="AI122" s="345">
        <f t="shared" si="52"/>
        <v>0</v>
      </c>
      <c r="AJ122" s="306">
        <f t="shared" si="34"/>
        <v>0</v>
      </c>
      <c r="AK122" s="306">
        <f t="shared" si="35"/>
        <v>0</v>
      </c>
      <c r="AL122" s="306">
        <f t="shared" si="36"/>
        <v>0</v>
      </c>
      <c r="AM122" s="749"/>
      <c r="AN122" s="763"/>
      <c r="AO122" s="780"/>
      <c r="AP122" s="898">
        <f t="shared" si="53"/>
        <v>0</v>
      </c>
      <c r="AQ122" s="896"/>
      <c r="AR122" s="896"/>
      <c r="AS122" s="780"/>
      <c r="AT122" s="780"/>
      <c r="AU122" s="780"/>
      <c r="AV122" s="780"/>
      <c r="AW122" s="780"/>
      <c r="AX122" s="780"/>
      <c r="AY122" s="780"/>
      <c r="AZ122" s="780"/>
      <c r="BA122" s="780"/>
    </row>
    <row r="123" spans="1:58" x14ac:dyDescent="0.2">
      <c r="A123" s="1222" t="s">
        <v>383</v>
      </c>
      <c r="B123" s="352"/>
      <c r="C123" s="353"/>
      <c r="D123" s="1803"/>
      <c r="E123" s="1804"/>
      <c r="F123" s="1804"/>
      <c r="G123" s="1804"/>
      <c r="H123" s="1804"/>
      <c r="I123" s="1804"/>
      <c r="J123" s="1804"/>
      <c r="K123" s="1804"/>
      <c r="L123" s="1804"/>
      <c r="M123" s="1804"/>
      <c r="N123" s="1804"/>
      <c r="O123" s="1804"/>
      <c r="P123" s="1804"/>
      <c r="Q123" s="1805"/>
      <c r="R123" s="307"/>
      <c r="S123" s="1213">
        <f t="shared" si="56"/>
        <v>0</v>
      </c>
      <c r="T123" s="341"/>
      <c r="U123" s="354"/>
      <c r="V123" s="354"/>
      <c r="W123" s="354"/>
      <c r="X123" s="354"/>
      <c r="Y123" s="354"/>
      <c r="Z123" s="354"/>
      <c r="AA123" s="354"/>
      <c r="AB123" s="354"/>
      <c r="AC123" s="354"/>
      <c r="AD123" s="354"/>
      <c r="AE123" s="354"/>
      <c r="AF123" s="354"/>
      <c r="AG123" s="354"/>
      <c r="AH123" s="354"/>
      <c r="AI123" s="354"/>
      <c r="AJ123" s="354"/>
      <c r="AK123" s="354"/>
      <c r="AL123" s="354"/>
      <c r="AM123" s="790"/>
      <c r="AN123" s="791"/>
      <c r="AO123" s="792"/>
      <c r="AP123" s="792"/>
      <c r="AQ123" s="792"/>
      <c r="AR123" s="792"/>
      <c r="AS123" s="792"/>
      <c r="AT123" s="792"/>
      <c r="AU123" s="792"/>
      <c r="AV123" s="792"/>
      <c r="AW123" s="792"/>
      <c r="AX123" s="792"/>
      <c r="AY123" s="792"/>
      <c r="AZ123" s="792"/>
      <c r="BA123" s="792"/>
      <c r="BF123" s="440"/>
    </row>
    <row r="124" spans="1:58" x14ac:dyDescent="0.2">
      <c r="A124" s="1222" t="s">
        <v>383</v>
      </c>
      <c r="B124" s="352"/>
      <c r="C124" s="353"/>
      <c r="D124" s="1806"/>
      <c r="E124" s="1807"/>
      <c r="F124" s="1807"/>
      <c r="G124" s="1807"/>
      <c r="H124" s="1807"/>
      <c r="I124" s="1807"/>
      <c r="J124" s="1807"/>
      <c r="K124" s="1807"/>
      <c r="L124" s="1807"/>
      <c r="M124" s="1807"/>
      <c r="N124" s="1807"/>
      <c r="O124" s="1807"/>
      <c r="P124" s="1807"/>
      <c r="Q124" s="1808"/>
      <c r="R124" s="307"/>
      <c r="S124" s="1213">
        <f t="shared" si="56"/>
        <v>0</v>
      </c>
      <c r="T124" s="341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790"/>
      <c r="AN124" s="791"/>
      <c r="AO124" s="792"/>
      <c r="AP124" s="792"/>
      <c r="AQ124" s="792"/>
      <c r="AR124" s="792"/>
      <c r="AS124" s="792"/>
      <c r="AT124" s="792"/>
      <c r="AU124" s="792"/>
      <c r="AV124" s="792"/>
      <c r="AW124" s="792"/>
      <c r="AX124" s="792"/>
      <c r="AY124" s="792"/>
      <c r="AZ124" s="792"/>
      <c r="BA124" s="792"/>
      <c r="BF124" s="440"/>
    </row>
    <row r="125" spans="1:58" x14ac:dyDescent="0.2">
      <c r="A125" s="1222" t="s">
        <v>383</v>
      </c>
      <c r="B125" s="352"/>
      <c r="C125" s="353"/>
      <c r="D125" s="1806"/>
      <c r="E125" s="1807"/>
      <c r="F125" s="1807"/>
      <c r="G125" s="1807"/>
      <c r="H125" s="1807"/>
      <c r="I125" s="1807"/>
      <c r="J125" s="1807"/>
      <c r="K125" s="1807"/>
      <c r="L125" s="1807"/>
      <c r="M125" s="1807"/>
      <c r="N125" s="1807"/>
      <c r="O125" s="1807"/>
      <c r="P125" s="1807"/>
      <c r="Q125" s="1808"/>
      <c r="R125" s="307"/>
      <c r="S125" s="1213">
        <f t="shared" si="56"/>
        <v>0</v>
      </c>
      <c r="T125" s="341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4"/>
      <c r="AH125" s="354"/>
      <c r="AI125" s="354"/>
      <c r="AJ125" s="354"/>
      <c r="AK125" s="354"/>
      <c r="AL125" s="354"/>
      <c r="AM125" s="790"/>
      <c r="AN125" s="791"/>
      <c r="AO125" s="792"/>
      <c r="AP125" s="792"/>
      <c r="AQ125" s="792"/>
      <c r="AR125" s="792"/>
      <c r="AS125" s="792"/>
      <c r="AT125" s="792"/>
      <c r="AU125" s="792"/>
      <c r="AV125" s="792"/>
      <c r="AW125" s="792"/>
      <c r="AX125" s="792"/>
      <c r="AY125" s="792"/>
      <c r="AZ125" s="792"/>
      <c r="BA125" s="792"/>
      <c r="BF125" s="440"/>
    </row>
    <row r="126" spans="1:58" x14ac:dyDescent="0.2">
      <c r="A126" s="1222" t="s">
        <v>383</v>
      </c>
      <c r="B126" s="352"/>
      <c r="C126" s="353"/>
      <c r="D126" s="1806"/>
      <c r="E126" s="1807"/>
      <c r="F126" s="1807"/>
      <c r="G126" s="1807"/>
      <c r="H126" s="1807"/>
      <c r="I126" s="1807"/>
      <c r="J126" s="1807"/>
      <c r="K126" s="1807"/>
      <c r="L126" s="1807"/>
      <c r="M126" s="1807"/>
      <c r="N126" s="1807"/>
      <c r="O126" s="1807"/>
      <c r="P126" s="1807"/>
      <c r="Q126" s="1808"/>
      <c r="R126" s="307"/>
      <c r="S126" s="1213">
        <f t="shared" si="56"/>
        <v>0</v>
      </c>
      <c r="T126" s="341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790"/>
      <c r="AN126" s="791"/>
      <c r="AO126" s="792"/>
      <c r="AP126" s="792"/>
      <c r="AQ126" s="792"/>
      <c r="AR126" s="792"/>
      <c r="AS126" s="792"/>
      <c r="AT126" s="792"/>
      <c r="AU126" s="792"/>
      <c r="AV126" s="792"/>
      <c r="AW126" s="792"/>
      <c r="AX126" s="792"/>
      <c r="AY126" s="792"/>
      <c r="AZ126" s="792"/>
      <c r="BA126" s="792"/>
    </row>
    <row r="127" spans="1:58" ht="13.5" thickBot="1" x14ac:dyDescent="0.25">
      <c r="A127" s="1222" t="s">
        <v>383</v>
      </c>
      <c r="B127" s="352"/>
      <c r="C127" s="353"/>
      <c r="D127" s="1809"/>
      <c r="E127" s="1810"/>
      <c r="F127" s="1810"/>
      <c r="G127" s="1810"/>
      <c r="H127" s="1810"/>
      <c r="I127" s="1810"/>
      <c r="J127" s="1810"/>
      <c r="K127" s="1810"/>
      <c r="L127" s="1810"/>
      <c r="M127" s="1810"/>
      <c r="N127" s="1810"/>
      <c r="O127" s="1810"/>
      <c r="P127" s="1810"/>
      <c r="Q127" s="1811"/>
      <c r="R127" s="307"/>
      <c r="S127" s="1213">
        <f t="shared" si="56"/>
        <v>0</v>
      </c>
      <c r="T127" s="341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4"/>
      <c r="AH127" s="354"/>
      <c r="AI127" s="354"/>
      <c r="AJ127" s="354"/>
      <c r="AK127" s="354"/>
      <c r="AL127" s="354"/>
      <c r="AM127" s="790"/>
      <c r="AN127" s="791"/>
      <c r="AO127" s="792"/>
      <c r="AP127" s="792"/>
      <c r="AQ127" s="792"/>
      <c r="AR127" s="792"/>
      <c r="AS127" s="792"/>
      <c r="AT127" s="792"/>
      <c r="AU127" s="792"/>
      <c r="AV127" s="792"/>
      <c r="AW127" s="792"/>
      <c r="AX127" s="792"/>
      <c r="AY127" s="792"/>
      <c r="AZ127" s="792"/>
      <c r="BA127" s="792"/>
    </row>
    <row r="128" spans="1:58" ht="13.5" thickBot="1" x14ac:dyDescent="0.25">
      <c r="A128" s="1223" t="s">
        <v>384</v>
      </c>
      <c r="B128" s="1224"/>
      <c r="C128" s="1225">
        <f>SUM(C22:C109,C111:C127)</f>
        <v>0</v>
      </c>
      <c r="D128" s="1226"/>
      <c r="E128" s="1226"/>
      <c r="F128" s="1226"/>
      <c r="G128" s="1227">
        <f t="shared" ref="G128:L128" si="58">IFERROR(SUM(G22:G109,G111:G122)/($C$128-SUM($C$123:$C$127)),0)</f>
        <v>0</v>
      </c>
      <c r="H128" s="1227">
        <f t="shared" si="58"/>
        <v>0</v>
      </c>
      <c r="I128" s="1228">
        <f t="shared" si="58"/>
        <v>0</v>
      </c>
      <c r="J128" s="1227">
        <f t="shared" si="58"/>
        <v>0</v>
      </c>
      <c r="K128" s="1227">
        <f t="shared" si="58"/>
        <v>0</v>
      </c>
      <c r="L128" s="1227">
        <f t="shared" si="58"/>
        <v>0</v>
      </c>
      <c r="M128" s="1227">
        <f t="shared" ref="M128:Q128" si="59">IFERROR(SUM(M22:M109,M111:M122)/($C$128-SUM($C$123:$C$127)),0)</f>
        <v>0</v>
      </c>
      <c r="N128" s="1227">
        <f t="shared" si="59"/>
        <v>0</v>
      </c>
      <c r="O128" s="1227">
        <f t="shared" si="59"/>
        <v>0</v>
      </c>
      <c r="P128" s="1227">
        <f t="shared" si="59"/>
        <v>0</v>
      </c>
      <c r="Q128" s="1227">
        <f t="shared" si="59"/>
        <v>0</v>
      </c>
      <c r="R128" s="1229">
        <f>SUM(R22:R109,R111:R127)</f>
        <v>0</v>
      </c>
      <c r="S128" s="1230">
        <f>IFERROR(SUM(R128/C128),0)</f>
        <v>0</v>
      </c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751"/>
      <c r="AN128" s="765"/>
      <c r="AO128" s="782"/>
      <c r="AP128" s="782"/>
      <c r="AQ128" s="782"/>
      <c r="AR128" s="782"/>
      <c r="AS128" s="782"/>
      <c r="AT128" s="782"/>
      <c r="AU128" s="782"/>
      <c r="AV128" s="782"/>
      <c r="AW128" s="782"/>
      <c r="AX128" s="782"/>
      <c r="AY128" s="782"/>
      <c r="AZ128" s="782"/>
      <c r="BA128" s="782"/>
      <c r="BF128" s="441"/>
    </row>
    <row r="129" spans="1:59" ht="14.25" customHeight="1" thickBot="1" x14ac:dyDescent="0.25">
      <c r="A129" s="1231"/>
      <c r="O129" s="1396" t="s">
        <v>1198</v>
      </c>
      <c r="P129" s="1397"/>
      <c r="Q129" s="1397"/>
      <c r="R129" s="1398"/>
      <c r="S129" s="1232">
        <f>S128*(100+$R$8)%*(100+$R$9)%</f>
        <v>0</v>
      </c>
      <c r="T129" s="355"/>
      <c r="U129" s="356"/>
      <c r="V129" s="356"/>
      <c r="W129" s="356"/>
      <c r="X129" s="356"/>
      <c r="Y129" s="356"/>
      <c r="Z129" s="356"/>
      <c r="AA129" s="356"/>
      <c r="AB129" s="356"/>
      <c r="AC129" s="356"/>
      <c r="AD129" s="356"/>
      <c r="AE129" s="356"/>
      <c r="AF129" s="356"/>
      <c r="AG129" s="356"/>
      <c r="AH129" s="356"/>
      <c r="AI129" s="356"/>
      <c r="AJ129" s="356"/>
      <c r="AK129" s="356"/>
      <c r="AL129" s="356"/>
      <c r="AM129" s="793"/>
      <c r="AN129" s="794"/>
      <c r="AO129" s="795"/>
      <c r="AP129" s="795"/>
      <c r="AQ129" s="795"/>
      <c r="AR129" s="795"/>
      <c r="AS129" s="795"/>
      <c r="AT129" s="795"/>
      <c r="AU129" s="795"/>
      <c r="AV129" s="795"/>
      <c r="AW129" s="795"/>
      <c r="AX129" s="795"/>
      <c r="AY129" s="795"/>
      <c r="AZ129" s="795"/>
      <c r="BA129" s="795"/>
      <c r="BF129" s="440"/>
    </row>
    <row r="130" spans="1:59" x14ac:dyDescent="0.2">
      <c r="A130" s="1233" t="s">
        <v>385</v>
      </c>
      <c r="B130" s="194"/>
      <c r="J130" s="1234"/>
      <c r="K130" s="1234"/>
      <c r="L130" s="1234"/>
      <c r="M130" s="309"/>
      <c r="N130" s="309"/>
      <c r="O130" s="309"/>
      <c r="P130" s="309"/>
      <c r="Q130" s="309"/>
      <c r="R130" s="309"/>
      <c r="S130" s="1235"/>
      <c r="T130" s="357"/>
      <c r="U130" s="309"/>
      <c r="V130" s="309"/>
      <c r="W130" s="309"/>
      <c r="X130" s="309"/>
      <c r="Y130" s="309"/>
      <c r="Z130" s="309"/>
      <c r="AA130" s="309"/>
      <c r="AB130" s="309"/>
      <c r="AC130" s="309"/>
      <c r="AD130" s="309"/>
      <c r="AE130" s="309"/>
      <c r="AF130" s="309"/>
      <c r="AG130" s="309"/>
      <c r="AH130" s="309"/>
      <c r="AI130" s="309"/>
      <c r="AJ130" s="309"/>
      <c r="AK130" s="309"/>
      <c r="AL130" s="309"/>
      <c r="AM130" s="309"/>
      <c r="AN130" s="766"/>
      <c r="AO130" s="783"/>
      <c r="AP130" s="783"/>
      <c r="AQ130" s="783"/>
      <c r="AR130" s="783"/>
      <c r="AS130" s="783"/>
      <c r="AT130" s="783"/>
      <c r="AU130" s="783"/>
      <c r="AV130" s="783"/>
      <c r="AW130" s="783"/>
      <c r="AX130" s="783"/>
      <c r="AY130" s="783"/>
      <c r="AZ130" s="783"/>
      <c r="BA130" s="783"/>
    </row>
    <row r="131" spans="1:59" x14ac:dyDescent="0.2">
      <c r="A131" s="346"/>
      <c r="B131" s="347"/>
      <c r="C131" s="378"/>
      <c r="D131" s="349"/>
      <c r="E131" s="349"/>
      <c r="F131" s="350"/>
      <c r="G131" s="1211">
        <f t="shared" ref="G131:G194" si="60">IFERROR(F131*C131,"")</f>
        <v>0</v>
      </c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1236">
        <f t="shared" ref="R131:R162" si="61">IFERROR(IF(A131&lt;&gt;"GfB",(SUM(G131:J131,L131,P131)*12+(N131+O131))*(100+$J$12+$J$13)%+((K131+M131+Q131)*12),(SUM(G131:J131,L131,P131)*12+(N131+O131))*(100+$J$15+$J$13)%+((K131+M131+Q131)*12)),0)</f>
        <v>0</v>
      </c>
      <c r="S131" s="1237">
        <f t="shared" ref="S131:S162" si="62">IF(ISERROR(R131/C131),0,(R131/C131))</f>
        <v>0</v>
      </c>
      <c r="T131" s="341"/>
      <c r="U131" s="381">
        <f t="shared" ref="U131:U194" si="63">(IF(AND($B131="PFK/BFK",$C131&gt;0,$F131&gt;0),($G131+$H131),0))</f>
        <v>0</v>
      </c>
      <c r="V131" s="342">
        <f t="shared" ref="V131:V194" si="64">(IF(AND($B131="PFK/BFK",$C131&gt;0,$F131&gt;0),$I131,0))</f>
        <v>0</v>
      </c>
      <c r="W131" s="342">
        <f t="shared" ref="W131:W194" si="65">(IF(AND($B131="PFK/BFK",$C131&gt;0,$F131&gt;0),($J131+$K131),0))</f>
        <v>0</v>
      </c>
      <c r="X131" s="342">
        <f t="shared" ref="X131:X194" si="66">(IF(AND($B131="PFK/BFK",$C131&gt;0,$F131&gt;0),(($N131+$O131)/12),0))</f>
        <v>0</v>
      </c>
      <c r="Y131" s="382">
        <f t="shared" ref="Y131:Y194" si="67">(IF(AND($B131="PK/BK",$C131&gt;0,$F131&gt;0),($G131+$H131),0))</f>
        <v>0</v>
      </c>
      <c r="Z131" s="343">
        <f t="shared" ref="Z131:Z194" si="68">(IF(AND($B131="PK/BK",$C131&gt;0,$F131&gt;0),$I131,0))</f>
        <v>0</v>
      </c>
      <c r="AA131" s="343">
        <f t="shared" ref="AA131:AA194" si="69">(IF(AND($B131="PK/BK",$C131&gt;0,$F131&gt;0),($J131+$K131),0))</f>
        <v>0</v>
      </c>
      <c r="AB131" s="343">
        <f t="shared" ref="AB131:AB194" si="70">(IF(AND($B131="PK/BK",$C131&gt;0,$F131&gt;0),(($N131+$O131)/12),0))</f>
        <v>0</v>
      </c>
      <c r="AC131" s="383">
        <f t="shared" ref="AC131:AC194" si="71">(IF(AND($B131="PK/BK o.",$C131&gt;0,$F131&gt;0),($G131+$H131),0))</f>
        <v>0</v>
      </c>
      <c r="AD131" s="344">
        <f t="shared" ref="AD131:AD194" si="72">(IF(AND($B131="PK/BK o.",$C131&gt;0,$F131&gt;0),$I131,0))</f>
        <v>0</v>
      </c>
      <c r="AE131" s="344">
        <f t="shared" ref="AE131:AE194" si="73">(IF(AND($B131="PK/BK o.",$C131&gt;0,$F131&gt;0),($J131+$K131),0))</f>
        <v>0</v>
      </c>
      <c r="AF131" s="344">
        <f t="shared" ref="AF131:AF194" si="74">(IF(AND($B131="PK/BK o.",$C131&gt;0,$F131&gt;0),(($N131+$O131)/12),0))</f>
        <v>0</v>
      </c>
      <c r="AG131" s="345">
        <f t="shared" ref="AG131:AG194" si="75">IF(AND($B131="PFK/BFK",$C131&gt;0,$F131&gt;0),$C131,0)</f>
        <v>0</v>
      </c>
      <c r="AH131" s="345">
        <f t="shared" ref="AH131:AH194" si="76">IF(AND($B131="PK/BK",$C131&gt;0,$F131&gt;0),$C131,0)</f>
        <v>0</v>
      </c>
      <c r="AI131" s="345">
        <f t="shared" ref="AI131:AI194" si="77">IF(AND($B131="PK/BK o.",$C131&gt;0,$F131&gt;0),$C131,0)</f>
        <v>0</v>
      </c>
      <c r="AJ131" s="306">
        <f t="shared" ref="AJ131:AJ162" si="78">IF(AND($B131="PFK/BFK",$C131&gt;0,$F131&gt;0),$R131,0)</f>
        <v>0</v>
      </c>
      <c r="AK131" s="306">
        <f t="shared" ref="AK131:AK162" si="79">IF(AND($B131="PK/BK",$C131&gt;0,$F131&gt;0),$R131,0)</f>
        <v>0</v>
      </c>
      <c r="AL131" s="306">
        <f t="shared" ref="AL131:AL162" si="80">IF(AND($B131="PK/BK o.",$C131&gt;0,$F131&gt;0),$R131,0)</f>
        <v>0</v>
      </c>
      <c r="AM131" s="749"/>
      <c r="AN131" s="763"/>
      <c r="AO131" s="780"/>
      <c r="AP131" s="898">
        <f>AG131</f>
        <v>0</v>
      </c>
      <c r="AQ131" s="900">
        <f>AH131</f>
        <v>0</v>
      </c>
      <c r="AR131" s="896">
        <f>AI131</f>
        <v>0</v>
      </c>
      <c r="AS131" s="780"/>
      <c r="AT131" s="780"/>
      <c r="AU131" s="780"/>
      <c r="AV131" s="780"/>
      <c r="AW131" s="780"/>
      <c r="AX131" s="780"/>
      <c r="AY131" s="780"/>
      <c r="AZ131" s="780"/>
      <c r="BA131" s="780"/>
    </row>
    <row r="132" spans="1:59" x14ac:dyDescent="0.2">
      <c r="A132" s="346"/>
      <c r="B132" s="347"/>
      <c r="C132" s="378"/>
      <c r="D132" s="349"/>
      <c r="E132" s="349"/>
      <c r="F132" s="350"/>
      <c r="G132" s="1211">
        <f t="shared" si="60"/>
        <v>0</v>
      </c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1236">
        <f t="shared" si="61"/>
        <v>0</v>
      </c>
      <c r="S132" s="1237">
        <f t="shared" si="62"/>
        <v>0</v>
      </c>
      <c r="T132" s="341"/>
      <c r="U132" s="381">
        <f t="shared" si="63"/>
        <v>0</v>
      </c>
      <c r="V132" s="342">
        <f t="shared" si="64"/>
        <v>0</v>
      </c>
      <c r="W132" s="342">
        <f t="shared" si="65"/>
        <v>0</v>
      </c>
      <c r="X132" s="342">
        <f t="shared" si="66"/>
        <v>0</v>
      </c>
      <c r="Y132" s="382">
        <f t="shared" si="67"/>
        <v>0</v>
      </c>
      <c r="Z132" s="343">
        <f t="shared" si="68"/>
        <v>0</v>
      </c>
      <c r="AA132" s="343">
        <f t="shared" si="69"/>
        <v>0</v>
      </c>
      <c r="AB132" s="343">
        <f t="shared" si="70"/>
        <v>0</v>
      </c>
      <c r="AC132" s="383">
        <f t="shared" si="71"/>
        <v>0</v>
      </c>
      <c r="AD132" s="344">
        <f t="shared" si="72"/>
        <v>0</v>
      </c>
      <c r="AE132" s="344">
        <f t="shared" si="73"/>
        <v>0</v>
      </c>
      <c r="AF132" s="344">
        <f t="shared" si="74"/>
        <v>0</v>
      </c>
      <c r="AG132" s="345">
        <f t="shared" si="75"/>
        <v>0</v>
      </c>
      <c r="AH132" s="345">
        <f t="shared" si="76"/>
        <v>0</v>
      </c>
      <c r="AI132" s="345">
        <f t="shared" si="77"/>
        <v>0</v>
      </c>
      <c r="AJ132" s="306">
        <f t="shared" si="78"/>
        <v>0</v>
      </c>
      <c r="AK132" s="306">
        <f t="shared" si="79"/>
        <v>0</v>
      </c>
      <c r="AL132" s="306">
        <f t="shared" si="80"/>
        <v>0</v>
      </c>
      <c r="AM132" s="749"/>
      <c r="AN132" s="763"/>
      <c r="AO132" s="780"/>
      <c r="AP132" s="898">
        <f t="shared" ref="AP132:AP195" si="81">AG132</f>
        <v>0</v>
      </c>
      <c r="AQ132" s="900">
        <f t="shared" ref="AQ132:AQ195" si="82">AH132</f>
        <v>0</v>
      </c>
      <c r="AR132" s="896">
        <f t="shared" ref="AR132:AR195" si="83">AI132</f>
        <v>0</v>
      </c>
      <c r="AS132" s="780"/>
      <c r="AT132" s="780"/>
      <c r="AU132" s="780"/>
      <c r="AV132" s="780"/>
      <c r="AW132" s="780"/>
      <c r="AX132" s="780"/>
      <c r="AY132" s="780"/>
      <c r="AZ132" s="780"/>
      <c r="BA132" s="780"/>
      <c r="BF132" s="442"/>
    </row>
    <row r="133" spans="1:59" x14ac:dyDescent="0.2">
      <c r="A133" s="696"/>
      <c r="B133" s="347"/>
      <c r="C133" s="358"/>
      <c r="D133" s="349"/>
      <c r="E133" s="349"/>
      <c r="F133" s="350"/>
      <c r="G133" s="1211">
        <f t="shared" si="60"/>
        <v>0</v>
      </c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1236">
        <f t="shared" si="61"/>
        <v>0</v>
      </c>
      <c r="S133" s="1237">
        <f t="shared" si="62"/>
        <v>0</v>
      </c>
      <c r="T133" s="341"/>
      <c r="U133" s="381">
        <f t="shared" si="63"/>
        <v>0</v>
      </c>
      <c r="V133" s="342">
        <f t="shared" si="64"/>
        <v>0</v>
      </c>
      <c r="W133" s="342">
        <f t="shared" si="65"/>
        <v>0</v>
      </c>
      <c r="X133" s="342">
        <f t="shared" si="66"/>
        <v>0</v>
      </c>
      <c r="Y133" s="382">
        <f t="shared" si="67"/>
        <v>0</v>
      </c>
      <c r="Z133" s="343">
        <f t="shared" si="68"/>
        <v>0</v>
      </c>
      <c r="AA133" s="343">
        <f t="shared" si="69"/>
        <v>0</v>
      </c>
      <c r="AB133" s="343">
        <f t="shared" si="70"/>
        <v>0</v>
      </c>
      <c r="AC133" s="383">
        <f t="shared" si="71"/>
        <v>0</v>
      </c>
      <c r="AD133" s="344">
        <f t="shared" si="72"/>
        <v>0</v>
      </c>
      <c r="AE133" s="344">
        <f t="shared" si="73"/>
        <v>0</v>
      </c>
      <c r="AF133" s="344">
        <f t="shared" si="74"/>
        <v>0</v>
      </c>
      <c r="AG133" s="345">
        <f t="shared" si="75"/>
        <v>0</v>
      </c>
      <c r="AH133" s="345">
        <f t="shared" si="76"/>
        <v>0</v>
      </c>
      <c r="AI133" s="345">
        <f t="shared" si="77"/>
        <v>0</v>
      </c>
      <c r="AJ133" s="306">
        <f t="shared" si="78"/>
        <v>0</v>
      </c>
      <c r="AK133" s="306">
        <f t="shared" si="79"/>
        <v>0</v>
      </c>
      <c r="AL133" s="306">
        <f t="shared" si="80"/>
        <v>0</v>
      </c>
      <c r="AM133" s="749"/>
      <c r="AN133" s="763"/>
      <c r="AO133" s="780"/>
      <c r="AP133" s="898">
        <f>AG133</f>
        <v>0</v>
      </c>
      <c r="AQ133" s="900">
        <f t="shared" si="82"/>
        <v>0</v>
      </c>
      <c r="AR133" s="896">
        <f t="shared" si="83"/>
        <v>0</v>
      </c>
      <c r="AS133" s="780"/>
      <c r="AT133" s="780"/>
      <c r="AU133" s="780"/>
      <c r="AV133" s="780"/>
      <c r="AW133" s="780"/>
      <c r="AX133" s="780"/>
      <c r="AY133" s="780"/>
      <c r="AZ133" s="780"/>
      <c r="BA133" s="780"/>
    </row>
    <row r="134" spans="1:59" x14ac:dyDescent="0.2">
      <c r="A134" s="696"/>
      <c r="B134" s="347"/>
      <c r="C134" s="358"/>
      <c r="D134" s="349"/>
      <c r="E134" s="349"/>
      <c r="F134" s="350"/>
      <c r="G134" s="1211">
        <f t="shared" si="60"/>
        <v>0</v>
      </c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1236">
        <f t="shared" si="61"/>
        <v>0</v>
      </c>
      <c r="S134" s="1237">
        <f t="shared" si="62"/>
        <v>0</v>
      </c>
      <c r="T134" s="341"/>
      <c r="U134" s="381">
        <f t="shared" si="63"/>
        <v>0</v>
      </c>
      <c r="V134" s="342">
        <f t="shared" si="64"/>
        <v>0</v>
      </c>
      <c r="W134" s="342">
        <f t="shared" si="65"/>
        <v>0</v>
      </c>
      <c r="X134" s="342">
        <f t="shared" si="66"/>
        <v>0</v>
      </c>
      <c r="Y134" s="382">
        <f t="shared" si="67"/>
        <v>0</v>
      </c>
      <c r="Z134" s="343">
        <f t="shared" si="68"/>
        <v>0</v>
      </c>
      <c r="AA134" s="343">
        <f t="shared" si="69"/>
        <v>0</v>
      </c>
      <c r="AB134" s="343">
        <f t="shared" si="70"/>
        <v>0</v>
      </c>
      <c r="AC134" s="383">
        <f t="shared" si="71"/>
        <v>0</v>
      </c>
      <c r="AD134" s="344">
        <f t="shared" si="72"/>
        <v>0</v>
      </c>
      <c r="AE134" s="344">
        <f t="shared" si="73"/>
        <v>0</v>
      </c>
      <c r="AF134" s="344">
        <f t="shared" si="74"/>
        <v>0</v>
      </c>
      <c r="AG134" s="345">
        <f t="shared" si="75"/>
        <v>0</v>
      </c>
      <c r="AH134" s="345">
        <f t="shared" si="76"/>
        <v>0</v>
      </c>
      <c r="AI134" s="345">
        <f t="shared" si="77"/>
        <v>0</v>
      </c>
      <c r="AJ134" s="306">
        <f t="shared" si="78"/>
        <v>0</v>
      </c>
      <c r="AK134" s="306">
        <f t="shared" si="79"/>
        <v>0</v>
      </c>
      <c r="AL134" s="306">
        <f t="shared" si="80"/>
        <v>0</v>
      </c>
      <c r="AM134" s="749"/>
      <c r="AN134" s="763"/>
      <c r="AO134" s="780"/>
      <c r="AP134" s="898">
        <f t="shared" si="81"/>
        <v>0</v>
      </c>
      <c r="AQ134" s="900">
        <f t="shared" si="82"/>
        <v>0</v>
      </c>
      <c r="AR134" s="896">
        <f t="shared" si="83"/>
        <v>0</v>
      </c>
      <c r="AS134" s="780"/>
      <c r="AT134" s="780"/>
      <c r="AU134" s="780"/>
      <c r="AV134" s="780"/>
      <c r="AW134" s="780"/>
      <c r="AX134" s="780"/>
      <c r="AY134" s="780"/>
      <c r="AZ134" s="780"/>
      <c r="BA134" s="780"/>
    </row>
    <row r="135" spans="1:59" x14ac:dyDescent="0.2">
      <c r="A135" s="346"/>
      <c r="B135" s="347"/>
      <c r="C135" s="358"/>
      <c r="D135" s="349"/>
      <c r="E135" s="349"/>
      <c r="F135" s="350"/>
      <c r="G135" s="1211">
        <f t="shared" si="60"/>
        <v>0</v>
      </c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1236">
        <f t="shared" si="61"/>
        <v>0</v>
      </c>
      <c r="S135" s="1237">
        <f t="shared" si="62"/>
        <v>0</v>
      </c>
      <c r="T135" s="341"/>
      <c r="U135" s="381">
        <f t="shared" si="63"/>
        <v>0</v>
      </c>
      <c r="V135" s="342">
        <f t="shared" si="64"/>
        <v>0</v>
      </c>
      <c r="W135" s="342">
        <f t="shared" si="65"/>
        <v>0</v>
      </c>
      <c r="X135" s="342">
        <f t="shared" si="66"/>
        <v>0</v>
      </c>
      <c r="Y135" s="382">
        <f t="shared" si="67"/>
        <v>0</v>
      </c>
      <c r="Z135" s="343">
        <f t="shared" si="68"/>
        <v>0</v>
      </c>
      <c r="AA135" s="343">
        <f t="shared" si="69"/>
        <v>0</v>
      </c>
      <c r="AB135" s="343">
        <f t="shared" si="70"/>
        <v>0</v>
      </c>
      <c r="AC135" s="383">
        <f t="shared" si="71"/>
        <v>0</v>
      </c>
      <c r="AD135" s="344">
        <f t="shared" si="72"/>
        <v>0</v>
      </c>
      <c r="AE135" s="344">
        <f t="shared" si="73"/>
        <v>0</v>
      </c>
      <c r="AF135" s="344">
        <f t="shared" si="74"/>
        <v>0</v>
      </c>
      <c r="AG135" s="345">
        <f t="shared" si="75"/>
        <v>0</v>
      </c>
      <c r="AH135" s="345">
        <f t="shared" si="76"/>
        <v>0</v>
      </c>
      <c r="AI135" s="345">
        <f t="shared" si="77"/>
        <v>0</v>
      </c>
      <c r="AJ135" s="306">
        <f t="shared" si="78"/>
        <v>0</v>
      </c>
      <c r="AK135" s="306">
        <f t="shared" si="79"/>
        <v>0</v>
      </c>
      <c r="AL135" s="306">
        <f t="shared" si="80"/>
        <v>0</v>
      </c>
      <c r="AM135" s="749"/>
      <c r="AN135" s="763"/>
      <c r="AO135" s="780"/>
      <c r="AP135" s="898">
        <f t="shared" si="81"/>
        <v>0</v>
      </c>
      <c r="AQ135" s="900">
        <f t="shared" si="82"/>
        <v>0</v>
      </c>
      <c r="AR135" s="896">
        <f t="shared" si="83"/>
        <v>0</v>
      </c>
      <c r="AS135" s="780"/>
      <c r="AT135" s="780"/>
      <c r="AU135" s="780"/>
      <c r="AV135" s="780"/>
      <c r="AW135" s="780"/>
      <c r="AX135" s="780"/>
      <c r="AY135" s="780"/>
      <c r="AZ135" s="780"/>
      <c r="BA135" s="780"/>
    </row>
    <row r="136" spans="1:59" x14ac:dyDescent="0.2">
      <c r="A136" s="346"/>
      <c r="B136" s="347"/>
      <c r="C136" s="358"/>
      <c r="D136" s="349"/>
      <c r="E136" s="349"/>
      <c r="F136" s="350"/>
      <c r="G136" s="1211">
        <f t="shared" si="60"/>
        <v>0</v>
      </c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1236">
        <f t="shared" si="61"/>
        <v>0</v>
      </c>
      <c r="S136" s="1237">
        <f t="shared" si="62"/>
        <v>0</v>
      </c>
      <c r="T136" s="341"/>
      <c r="U136" s="381">
        <f t="shared" si="63"/>
        <v>0</v>
      </c>
      <c r="V136" s="342">
        <f t="shared" si="64"/>
        <v>0</v>
      </c>
      <c r="W136" s="342">
        <f t="shared" si="65"/>
        <v>0</v>
      </c>
      <c r="X136" s="342">
        <f t="shared" si="66"/>
        <v>0</v>
      </c>
      <c r="Y136" s="382">
        <f t="shared" si="67"/>
        <v>0</v>
      </c>
      <c r="Z136" s="343">
        <f t="shared" si="68"/>
        <v>0</v>
      </c>
      <c r="AA136" s="343">
        <f t="shared" si="69"/>
        <v>0</v>
      </c>
      <c r="AB136" s="343">
        <f t="shared" si="70"/>
        <v>0</v>
      </c>
      <c r="AC136" s="383">
        <f t="shared" si="71"/>
        <v>0</v>
      </c>
      <c r="AD136" s="344">
        <f t="shared" si="72"/>
        <v>0</v>
      </c>
      <c r="AE136" s="344">
        <f t="shared" si="73"/>
        <v>0</v>
      </c>
      <c r="AF136" s="344">
        <f t="shared" si="74"/>
        <v>0</v>
      </c>
      <c r="AG136" s="345">
        <f t="shared" si="75"/>
        <v>0</v>
      </c>
      <c r="AH136" s="345">
        <f t="shared" si="76"/>
        <v>0</v>
      </c>
      <c r="AI136" s="345">
        <f t="shared" si="77"/>
        <v>0</v>
      </c>
      <c r="AJ136" s="306">
        <f t="shared" si="78"/>
        <v>0</v>
      </c>
      <c r="AK136" s="306">
        <f t="shared" si="79"/>
        <v>0</v>
      </c>
      <c r="AL136" s="306">
        <f t="shared" si="80"/>
        <v>0</v>
      </c>
      <c r="AM136" s="749"/>
      <c r="AN136" s="763"/>
      <c r="AO136" s="780"/>
      <c r="AP136" s="898">
        <f t="shared" si="81"/>
        <v>0</v>
      </c>
      <c r="AQ136" s="900">
        <f t="shared" si="82"/>
        <v>0</v>
      </c>
      <c r="AR136" s="896">
        <f t="shared" si="83"/>
        <v>0</v>
      </c>
      <c r="AS136" s="780"/>
      <c r="AT136" s="780"/>
      <c r="AU136" s="780"/>
      <c r="AV136" s="780"/>
      <c r="AW136" s="780"/>
      <c r="AX136" s="780"/>
      <c r="AY136" s="780"/>
      <c r="AZ136" s="780"/>
      <c r="BA136" s="780"/>
    </row>
    <row r="137" spans="1:59" x14ac:dyDescent="0.2">
      <c r="A137" s="346"/>
      <c r="B137" s="347"/>
      <c r="C137" s="358"/>
      <c r="D137" s="349"/>
      <c r="E137" s="349"/>
      <c r="F137" s="350"/>
      <c r="G137" s="1211">
        <f t="shared" si="60"/>
        <v>0</v>
      </c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1236">
        <f t="shared" si="61"/>
        <v>0</v>
      </c>
      <c r="S137" s="1237">
        <f t="shared" si="62"/>
        <v>0</v>
      </c>
      <c r="T137" s="341"/>
      <c r="U137" s="381">
        <f t="shared" si="63"/>
        <v>0</v>
      </c>
      <c r="V137" s="342">
        <f t="shared" si="64"/>
        <v>0</v>
      </c>
      <c r="W137" s="342">
        <f t="shared" si="65"/>
        <v>0</v>
      </c>
      <c r="X137" s="342">
        <f t="shared" si="66"/>
        <v>0</v>
      </c>
      <c r="Y137" s="382">
        <f t="shared" si="67"/>
        <v>0</v>
      </c>
      <c r="Z137" s="343">
        <f t="shared" si="68"/>
        <v>0</v>
      </c>
      <c r="AA137" s="343">
        <f t="shared" si="69"/>
        <v>0</v>
      </c>
      <c r="AB137" s="343">
        <f t="shared" si="70"/>
        <v>0</v>
      </c>
      <c r="AC137" s="383">
        <f t="shared" si="71"/>
        <v>0</v>
      </c>
      <c r="AD137" s="344">
        <f t="shared" si="72"/>
        <v>0</v>
      </c>
      <c r="AE137" s="344">
        <f t="shared" si="73"/>
        <v>0</v>
      </c>
      <c r="AF137" s="344">
        <f t="shared" si="74"/>
        <v>0</v>
      </c>
      <c r="AG137" s="345">
        <f t="shared" si="75"/>
        <v>0</v>
      </c>
      <c r="AH137" s="345">
        <f t="shared" si="76"/>
        <v>0</v>
      </c>
      <c r="AI137" s="345">
        <f t="shared" si="77"/>
        <v>0</v>
      </c>
      <c r="AJ137" s="306">
        <f t="shared" si="78"/>
        <v>0</v>
      </c>
      <c r="AK137" s="306">
        <f t="shared" si="79"/>
        <v>0</v>
      </c>
      <c r="AL137" s="306">
        <f t="shared" si="80"/>
        <v>0</v>
      </c>
      <c r="AM137" s="749"/>
      <c r="AN137" s="763"/>
      <c r="AO137" s="780"/>
      <c r="AP137" s="898">
        <f t="shared" si="81"/>
        <v>0</v>
      </c>
      <c r="AQ137" s="900">
        <f t="shared" si="82"/>
        <v>0</v>
      </c>
      <c r="AR137" s="896">
        <f t="shared" si="83"/>
        <v>0</v>
      </c>
      <c r="AS137" s="780"/>
      <c r="AT137" s="780"/>
      <c r="AU137" s="780"/>
      <c r="AV137" s="780"/>
      <c r="AW137" s="780"/>
      <c r="AX137" s="780"/>
      <c r="AY137" s="780"/>
      <c r="AZ137" s="780"/>
      <c r="BA137" s="780"/>
    </row>
    <row r="138" spans="1:59" x14ac:dyDescent="0.2">
      <c r="A138" s="346"/>
      <c r="B138" s="347"/>
      <c r="C138" s="358"/>
      <c r="D138" s="349"/>
      <c r="E138" s="349"/>
      <c r="F138" s="350"/>
      <c r="G138" s="1211">
        <f t="shared" si="60"/>
        <v>0</v>
      </c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1236">
        <f t="shared" si="61"/>
        <v>0</v>
      </c>
      <c r="S138" s="1237">
        <f t="shared" si="62"/>
        <v>0</v>
      </c>
      <c r="T138" s="341"/>
      <c r="U138" s="381">
        <f t="shared" si="63"/>
        <v>0</v>
      </c>
      <c r="V138" s="342">
        <f t="shared" si="64"/>
        <v>0</v>
      </c>
      <c r="W138" s="342">
        <f t="shared" si="65"/>
        <v>0</v>
      </c>
      <c r="X138" s="342">
        <f t="shared" si="66"/>
        <v>0</v>
      </c>
      <c r="Y138" s="382">
        <f t="shared" si="67"/>
        <v>0</v>
      </c>
      <c r="Z138" s="343">
        <f t="shared" si="68"/>
        <v>0</v>
      </c>
      <c r="AA138" s="343">
        <f t="shared" si="69"/>
        <v>0</v>
      </c>
      <c r="AB138" s="343">
        <f t="shared" si="70"/>
        <v>0</v>
      </c>
      <c r="AC138" s="383">
        <f t="shared" si="71"/>
        <v>0</v>
      </c>
      <c r="AD138" s="344">
        <f t="shared" si="72"/>
        <v>0</v>
      </c>
      <c r="AE138" s="344">
        <f t="shared" si="73"/>
        <v>0</v>
      </c>
      <c r="AF138" s="344">
        <f t="shared" si="74"/>
        <v>0</v>
      </c>
      <c r="AG138" s="345">
        <f t="shared" si="75"/>
        <v>0</v>
      </c>
      <c r="AH138" s="345">
        <f t="shared" si="76"/>
        <v>0</v>
      </c>
      <c r="AI138" s="345">
        <f t="shared" si="77"/>
        <v>0</v>
      </c>
      <c r="AJ138" s="306">
        <f t="shared" si="78"/>
        <v>0</v>
      </c>
      <c r="AK138" s="306">
        <f t="shared" si="79"/>
        <v>0</v>
      </c>
      <c r="AL138" s="306">
        <f t="shared" si="80"/>
        <v>0</v>
      </c>
      <c r="AM138" s="749"/>
      <c r="AN138" s="763"/>
      <c r="AO138" s="780"/>
      <c r="AP138" s="898">
        <f t="shared" si="81"/>
        <v>0</v>
      </c>
      <c r="AQ138" s="900">
        <f t="shared" si="82"/>
        <v>0</v>
      </c>
      <c r="AR138" s="896">
        <f t="shared" si="83"/>
        <v>0</v>
      </c>
      <c r="AS138" s="780"/>
      <c r="AT138" s="780"/>
      <c r="AU138" s="780"/>
      <c r="AV138" s="780"/>
      <c r="AW138" s="780"/>
      <c r="AX138" s="780"/>
      <c r="AY138" s="780"/>
      <c r="AZ138" s="780"/>
      <c r="BA138" s="780"/>
    </row>
    <row r="139" spans="1:59" x14ac:dyDescent="0.2">
      <c r="A139" s="346"/>
      <c r="B139" s="347"/>
      <c r="C139" s="358"/>
      <c r="D139" s="349"/>
      <c r="E139" s="349"/>
      <c r="F139" s="350"/>
      <c r="G139" s="1211">
        <f t="shared" si="60"/>
        <v>0</v>
      </c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1236">
        <f t="shared" si="61"/>
        <v>0</v>
      </c>
      <c r="S139" s="1237">
        <f t="shared" si="62"/>
        <v>0</v>
      </c>
      <c r="T139" s="341"/>
      <c r="U139" s="381">
        <f t="shared" si="63"/>
        <v>0</v>
      </c>
      <c r="V139" s="342">
        <f t="shared" si="64"/>
        <v>0</v>
      </c>
      <c r="W139" s="342">
        <f t="shared" si="65"/>
        <v>0</v>
      </c>
      <c r="X139" s="342">
        <f t="shared" si="66"/>
        <v>0</v>
      </c>
      <c r="Y139" s="382">
        <f t="shared" si="67"/>
        <v>0</v>
      </c>
      <c r="Z139" s="343">
        <f t="shared" si="68"/>
        <v>0</v>
      </c>
      <c r="AA139" s="343">
        <f t="shared" si="69"/>
        <v>0</v>
      </c>
      <c r="AB139" s="343">
        <f t="shared" si="70"/>
        <v>0</v>
      </c>
      <c r="AC139" s="383">
        <f t="shared" si="71"/>
        <v>0</v>
      </c>
      <c r="AD139" s="344">
        <f t="shared" si="72"/>
        <v>0</v>
      </c>
      <c r="AE139" s="344">
        <f t="shared" si="73"/>
        <v>0</v>
      </c>
      <c r="AF139" s="344">
        <f t="shared" si="74"/>
        <v>0</v>
      </c>
      <c r="AG139" s="345">
        <f t="shared" si="75"/>
        <v>0</v>
      </c>
      <c r="AH139" s="345">
        <f t="shared" si="76"/>
        <v>0</v>
      </c>
      <c r="AI139" s="345">
        <f t="shared" si="77"/>
        <v>0</v>
      </c>
      <c r="AJ139" s="306">
        <f t="shared" si="78"/>
        <v>0</v>
      </c>
      <c r="AK139" s="306">
        <f t="shared" si="79"/>
        <v>0</v>
      </c>
      <c r="AL139" s="306">
        <f t="shared" si="80"/>
        <v>0</v>
      </c>
      <c r="AM139" s="749"/>
      <c r="AN139" s="763"/>
      <c r="AO139" s="780"/>
      <c r="AP139" s="898">
        <f t="shared" si="81"/>
        <v>0</v>
      </c>
      <c r="AQ139" s="900">
        <f t="shared" si="82"/>
        <v>0</v>
      </c>
      <c r="AR139" s="896">
        <f t="shared" si="83"/>
        <v>0</v>
      </c>
      <c r="AS139" s="780"/>
      <c r="AT139" s="780"/>
      <c r="AU139" s="780"/>
      <c r="AV139" s="780"/>
      <c r="AW139" s="780"/>
      <c r="AX139" s="780"/>
      <c r="AY139" s="780"/>
      <c r="AZ139" s="780"/>
      <c r="BA139" s="780"/>
    </row>
    <row r="140" spans="1:59" x14ac:dyDescent="0.2">
      <c r="A140" s="346"/>
      <c r="B140" s="347"/>
      <c r="C140" s="358"/>
      <c r="D140" s="349"/>
      <c r="E140" s="349"/>
      <c r="F140" s="350"/>
      <c r="G140" s="1211">
        <f t="shared" si="60"/>
        <v>0</v>
      </c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1236">
        <f t="shared" si="61"/>
        <v>0</v>
      </c>
      <c r="S140" s="1237">
        <f t="shared" si="62"/>
        <v>0</v>
      </c>
      <c r="T140" s="341"/>
      <c r="U140" s="381">
        <f t="shared" si="63"/>
        <v>0</v>
      </c>
      <c r="V140" s="342">
        <f t="shared" si="64"/>
        <v>0</v>
      </c>
      <c r="W140" s="342">
        <f t="shared" si="65"/>
        <v>0</v>
      </c>
      <c r="X140" s="342">
        <f t="shared" si="66"/>
        <v>0</v>
      </c>
      <c r="Y140" s="382">
        <f t="shared" si="67"/>
        <v>0</v>
      </c>
      <c r="Z140" s="343">
        <f t="shared" si="68"/>
        <v>0</v>
      </c>
      <c r="AA140" s="343">
        <f t="shared" si="69"/>
        <v>0</v>
      </c>
      <c r="AB140" s="343">
        <f t="shared" si="70"/>
        <v>0</v>
      </c>
      <c r="AC140" s="383">
        <f t="shared" si="71"/>
        <v>0</v>
      </c>
      <c r="AD140" s="344">
        <f t="shared" si="72"/>
        <v>0</v>
      </c>
      <c r="AE140" s="344">
        <f t="shared" si="73"/>
        <v>0</v>
      </c>
      <c r="AF140" s="344">
        <f t="shared" si="74"/>
        <v>0</v>
      </c>
      <c r="AG140" s="345">
        <f t="shared" si="75"/>
        <v>0</v>
      </c>
      <c r="AH140" s="345">
        <f t="shared" si="76"/>
        <v>0</v>
      </c>
      <c r="AI140" s="345">
        <f t="shared" si="77"/>
        <v>0</v>
      </c>
      <c r="AJ140" s="306">
        <f t="shared" si="78"/>
        <v>0</v>
      </c>
      <c r="AK140" s="306">
        <f t="shared" si="79"/>
        <v>0</v>
      </c>
      <c r="AL140" s="306">
        <f t="shared" si="80"/>
        <v>0</v>
      </c>
      <c r="AM140" s="749"/>
      <c r="AN140" s="763"/>
      <c r="AO140" s="780"/>
      <c r="AP140" s="898">
        <f t="shared" si="81"/>
        <v>0</v>
      </c>
      <c r="AQ140" s="900">
        <f t="shared" si="82"/>
        <v>0</v>
      </c>
      <c r="AR140" s="896">
        <f t="shared" si="83"/>
        <v>0</v>
      </c>
      <c r="AS140" s="780"/>
      <c r="AT140" s="780"/>
      <c r="AU140" s="780"/>
      <c r="AV140" s="780"/>
      <c r="AW140" s="780"/>
      <c r="AX140" s="780"/>
      <c r="AY140" s="780"/>
      <c r="AZ140" s="780"/>
      <c r="BA140" s="780"/>
    </row>
    <row r="141" spans="1:59" x14ac:dyDescent="0.2">
      <c r="A141" s="346"/>
      <c r="B141" s="347"/>
      <c r="C141" s="358"/>
      <c r="D141" s="349"/>
      <c r="E141" s="349"/>
      <c r="F141" s="350"/>
      <c r="G141" s="1211">
        <f t="shared" si="60"/>
        <v>0</v>
      </c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1236">
        <f t="shared" si="61"/>
        <v>0</v>
      </c>
      <c r="S141" s="1237">
        <f t="shared" si="62"/>
        <v>0</v>
      </c>
      <c r="T141" s="341"/>
      <c r="U141" s="381">
        <f t="shared" si="63"/>
        <v>0</v>
      </c>
      <c r="V141" s="342">
        <f t="shared" si="64"/>
        <v>0</v>
      </c>
      <c r="W141" s="342">
        <f t="shared" si="65"/>
        <v>0</v>
      </c>
      <c r="X141" s="342">
        <f t="shared" si="66"/>
        <v>0</v>
      </c>
      <c r="Y141" s="382">
        <f t="shared" si="67"/>
        <v>0</v>
      </c>
      <c r="Z141" s="343">
        <f t="shared" si="68"/>
        <v>0</v>
      </c>
      <c r="AA141" s="343">
        <f t="shared" si="69"/>
        <v>0</v>
      </c>
      <c r="AB141" s="343">
        <f t="shared" si="70"/>
        <v>0</v>
      </c>
      <c r="AC141" s="383">
        <f t="shared" si="71"/>
        <v>0</v>
      </c>
      <c r="AD141" s="344">
        <f t="shared" si="72"/>
        <v>0</v>
      </c>
      <c r="AE141" s="344">
        <f t="shared" si="73"/>
        <v>0</v>
      </c>
      <c r="AF141" s="344">
        <f t="shared" si="74"/>
        <v>0</v>
      </c>
      <c r="AG141" s="345">
        <f t="shared" si="75"/>
        <v>0</v>
      </c>
      <c r="AH141" s="345">
        <f t="shared" si="76"/>
        <v>0</v>
      </c>
      <c r="AI141" s="345">
        <f t="shared" si="77"/>
        <v>0</v>
      </c>
      <c r="AJ141" s="306">
        <f t="shared" si="78"/>
        <v>0</v>
      </c>
      <c r="AK141" s="306">
        <f t="shared" si="79"/>
        <v>0</v>
      </c>
      <c r="AL141" s="306">
        <f t="shared" si="80"/>
        <v>0</v>
      </c>
      <c r="AM141" s="749"/>
      <c r="AN141" s="763"/>
      <c r="AO141" s="780"/>
      <c r="AP141" s="898">
        <f t="shared" si="81"/>
        <v>0</v>
      </c>
      <c r="AQ141" s="900">
        <f t="shared" si="82"/>
        <v>0</v>
      </c>
      <c r="AR141" s="896">
        <f t="shared" si="83"/>
        <v>0</v>
      </c>
      <c r="AS141" s="780"/>
      <c r="AT141" s="780"/>
      <c r="AU141" s="780"/>
      <c r="AV141" s="780"/>
      <c r="AW141" s="780"/>
      <c r="AX141" s="780"/>
      <c r="AY141" s="780"/>
      <c r="AZ141" s="780"/>
      <c r="BA141" s="780"/>
    </row>
    <row r="142" spans="1:59" x14ac:dyDescent="0.2">
      <c r="A142" s="346"/>
      <c r="B142" s="347"/>
      <c r="C142" s="358"/>
      <c r="D142" s="349"/>
      <c r="E142" s="349"/>
      <c r="F142" s="350"/>
      <c r="G142" s="1211">
        <f t="shared" si="60"/>
        <v>0</v>
      </c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1236">
        <f t="shared" si="61"/>
        <v>0</v>
      </c>
      <c r="S142" s="1237">
        <f t="shared" si="62"/>
        <v>0</v>
      </c>
      <c r="T142" s="341"/>
      <c r="U142" s="381">
        <f t="shared" si="63"/>
        <v>0</v>
      </c>
      <c r="V142" s="342">
        <f t="shared" si="64"/>
        <v>0</v>
      </c>
      <c r="W142" s="342">
        <f t="shared" si="65"/>
        <v>0</v>
      </c>
      <c r="X142" s="342">
        <f t="shared" si="66"/>
        <v>0</v>
      </c>
      <c r="Y142" s="382">
        <f t="shared" si="67"/>
        <v>0</v>
      </c>
      <c r="Z142" s="343">
        <f t="shared" si="68"/>
        <v>0</v>
      </c>
      <c r="AA142" s="343">
        <f t="shared" si="69"/>
        <v>0</v>
      </c>
      <c r="AB142" s="343">
        <f t="shared" si="70"/>
        <v>0</v>
      </c>
      <c r="AC142" s="383">
        <f t="shared" si="71"/>
        <v>0</v>
      </c>
      <c r="AD142" s="344">
        <f t="shared" si="72"/>
        <v>0</v>
      </c>
      <c r="AE142" s="344">
        <f t="shared" si="73"/>
        <v>0</v>
      </c>
      <c r="AF142" s="344">
        <f t="shared" si="74"/>
        <v>0</v>
      </c>
      <c r="AG142" s="345">
        <f t="shared" si="75"/>
        <v>0</v>
      </c>
      <c r="AH142" s="345">
        <f t="shared" si="76"/>
        <v>0</v>
      </c>
      <c r="AI142" s="345">
        <f t="shared" si="77"/>
        <v>0</v>
      </c>
      <c r="AJ142" s="306">
        <f t="shared" si="78"/>
        <v>0</v>
      </c>
      <c r="AK142" s="306">
        <f t="shared" si="79"/>
        <v>0</v>
      </c>
      <c r="AL142" s="306">
        <f t="shared" si="80"/>
        <v>0</v>
      </c>
      <c r="AM142" s="749"/>
      <c r="AN142" s="763"/>
      <c r="AO142" s="780"/>
      <c r="AP142" s="898">
        <f t="shared" si="81"/>
        <v>0</v>
      </c>
      <c r="AQ142" s="900">
        <f t="shared" si="82"/>
        <v>0</v>
      </c>
      <c r="AR142" s="896">
        <f t="shared" si="83"/>
        <v>0</v>
      </c>
      <c r="AS142" s="780"/>
      <c r="AT142" s="780"/>
      <c r="AU142" s="780"/>
      <c r="AV142" s="780"/>
      <c r="AW142" s="780"/>
      <c r="AX142" s="780"/>
      <c r="AY142" s="780"/>
      <c r="AZ142" s="780"/>
      <c r="BA142" s="780"/>
    </row>
    <row r="143" spans="1:59" x14ac:dyDescent="0.2">
      <c r="A143" s="346"/>
      <c r="B143" s="347"/>
      <c r="C143" s="358"/>
      <c r="D143" s="349"/>
      <c r="E143" s="349"/>
      <c r="F143" s="350"/>
      <c r="G143" s="1211">
        <f t="shared" si="60"/>
        <v>0</v>
      </c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1236">
        <f t="shared" si="61"/>
        <v>0</v>
      </c>
      <c r="S143" s="1237">
        <f t="shared" si="62"/>
        <v>0</v>
      </c>
      <c r="T143" s="341"/>
      <c r="U143" s="381">
        <f t="shared" si="63"/>
        <v>0</v>
      </c>
      <c r="V143" s="342">
        <f t="shared" si="64"/>
        <v>0</v>
      </c>
      <c r="W143" s="342">
        <f t="shared" si="65"/>
        <v>0</v>
      </c>
      <c r="X143" s="342">
        <f t="shared" si="66"/>
        <v>0</v>
      </c>
      <c r="Y143" s="382">
        <f t="shared" si="67"/>
        <v>0</v>
      </c>
      <c r="Z143" s="343">
        <f t="shared" si="68"/>
        <v>0</v>
      </c>
      <c r="AA143" s="343">
        <f t="shared" si="69"/>
        <v>0</v>
      </c>
      <c r="AB143" s="343">
        <f t="shared" si="70"/>
        <v>0</v>
      </c>
      <c r="AC143" s="383">
        <f t="shared" si="71"/>
        <v>0</v>
      </c>
      <c r="AD143" s="344">
        <f t="shared" si="72"/>
        <v>0</v>
      </c>
      <c r="AE143" s="344">
        <f t="shared" si="73"/>
        <v>0</v>
      </c>
      <c r="AF143" s="344">
        <f t="shared" si="74"/>
        <v>0</v>
      </c>
      <c r="AG143" s="345">
        <f t="shared" si="75"/>
        <v>0</v>
      </c>
      <c r="AH143" s="345">
        <f t="shared" si="76"/>
        <v>0</v>
      </c>
      <c r="AI143" s="345">
        <f t="shared" si="77"/>
        <v>0</v>
      </c>
      <c r="AJ143" s="306">
        <f t="shared" si="78"/>
        <v>0</v>
      </c>
      <c r="AK143" s="306">
        <f t="shared" si="79"/>
        <v>0</v>
      </c>
      <c r="AL143" s="306">
        <f t="shared" si="80"/>
        <v>0</v>
      </c>
      <c r="AM143" s="749"/>
      <c r="AN143" s="763"/>
      <c r="AO143" s="780"/>
      <c r="AP143" s="898">
        <f t="shared" si="81"/>
        <v>0</v>
      </c>
      <c r="AQ143" s="900">
        <f t="shared" si="82"/>
        <v>0</v>
      </c>
      <c r="AR143" s="896">
        <f t="shared" si="83"/>
        <v>0</v>
      </c>
      <c r="AS143" s="780"/>
      <c r="AT143" s="780"/>
      <c r="AU143" s="780"/>
      <c r="AV143" s="780"/>
      <c r="AW143" s="780"/>
      <c r="AX143" s="780"/>
      <c r="AY143" s="780"/>
      <c r="AZ143" s="780"/>
      <c r="BA143" s="780"/>
    </row>
    <row r="144" spans="1:59" x14ac:dyDescent="0.2">
      <c r="A144" s="346"/>
      <c r="B144" s="347"/>
      <c r="C144" s="358"/>
      <c r="D144" s="349"/>
      <c r="E144" s="349"/>
      <c r="F144" s="350"/>
      <c r="G144" s="1211">
        <f t="shared" si="60"/>
        <v>0</v>
      </c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1236">
        <f t="shared" si="61"/>
        <v>0</v>
      </c>
      <c r="S144" s="1237">
        <f t="shared" si="62"/>
        <v>0</v>
      </c>
      <c r="T144" s="341"/>
      <c r="U144" s="381">
        <f t="shared" si="63"/>
        <v>0</v>
      </c>
      <c r="V144" s="342">
        <f t="shared" si="64"/>
        <v>0</v>
      </c>
      <c r="W144" s="342">
        <f t="shared" si="65"/>
        <v>0</v>
      </c>
      <c r="X144" s="342">
        <f t="shared" si="66"/>
        <v>0</v>
      </c>
      <c r="Y144" s="382">
        <f t="shared" si="67"/>
        <v>0</v>
      </c>
      <c r="Z144" s="343">
        <f t="shared" si="68"/>
        <v>0</v>
      </c>
      <c r="AA144" s="343">
        <f t="shared" si="69"/>
        <v>0</v>
      </c>
      <c r="AB144" s="343">
        <f t="shared" si="70"/>
        <v>0</v>
      </c>
      <c r="AC144" s="383">
        <f t="shared" si="71"/>
        <v>0</v>
      </c>
      <c r="AD144" s="344">
        <f t="shared" si="72"/>
        <v>0</v>
      </c>
      <c r="AE144" s="344">
        <f t="shared" si="73"/>
        <v>0</v>
      </c>
      <c r="AF144" s="344">
        <f t="shared" si="74"/>
        <v>0</v>
      </c>
      <c r="AG144" s="345">
        <f t="shared" si="75"/>
        <v>0</v>
      </c>
      <c r="AH144" s="345">
        <f t="shared" si="76"/>
        <v>0</v>
      </c>
      <c r="AI144" s="345">
        <f t="shared" si="77"/>
        <v>0</v>
      </c>
      <c r="AJ144" s="306">
        <f t="shared" si="78"/>
        <v>0</v>
      </c>
      <c r="AK144" s="306">
        <f t="shared" si="79"/>
        <v>0</v>
      </c>
      <c r="AL144" s="306">
        <f t="shared" si="80"/>
        <v>0</v>
      </c>
      <c r="AM144" s="749"/>
      <c r="AN144" s="763"/>
      <c r="AO144" s="780"/>
      <c r="AP144" s="898">
        <f t="shared" si="81"/>
        <v>0</v>
      </c>
      <c r="AQ144" s="900">
        <f t="shared" si="82"/>
        <v>0</v>
      </c>
      <c r="AR144" s="896">
        <f t="shared" si="83"/>
        <v>0</v>
      </c>
      <c r="AS144" s="780"/>
      <c r="AT144" s="780"/>
      <c r="AU144" s="780"/>
      <c r="AV144" s="780"/>
      <c r="AW144" s="780"/>
      <c r="AX144" s="780"/>
      <c r="AY144" s="780"/>
      <c r="AZ144" s="780"/>
      <c r="BA144" s="780"/>
      <c r="BG144" s="440"/>
    </row>
    <row r="145" spans="1:59" x14ac:dyDescent="0.2">
      <c r="A145" s="346"/>
      <c r="B145" s="347"/>
      <c r="C145" s="358"/>
      <c r="D145" s="349"/>
      <c r="E145" s="349"/>
      <c r="F145" s="350"/>
      <c r="G145" s="1211">
        <f t="shared" si="60"/>
        <v>0</v>
      </c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1236">
        <f t="shared" si="61"/>
        <v>0</v>
      </c>
      <c r="S145" s="1237">
        <f t="shared" si="62"/>
        <v>0</v>
      </c>
      <c r="T145" s="341"/>
      <c r="U145" s="381">
        <f t="shared" si="63"/>
        <v>0</v>
      </c>
      <c r="V145" s="342">
        <f t="shared" si="64"/>
        <v>0</v>
      </c>
      <c r="W145" s="342">
        <f t="shared" si="65"/>
        <v>0</v>
      </c>
      <c r="X145" s="342">
        <f t="shared" si="66"/>
        <v>0</v>
      </c>
      <c r="Y145" s="382">
        <f t="shared" si="67"/>
        <v>0</v>
      </c>
      <c r="Z145" s="343">
        <f t="shared" si="68"/>
        <v>0</v>
      </c>
      <c r="AA145" s="343">
        <f t="shared" si="69"/>
        <v>0</v>
      </c>
      <c r="AB145" s="343">
        <f t="shared" si="70"/>
        <v>0</v>
      </c>
      <c r="AC145" s="383">
        <f t="shared" si="71"/>
        <v>0</v>
      </c>
      <c r="AD145" s="344">
        <f t="shared" si="72"/>
        <v>0</v>
      </c>
      <c r="AE145" s="344">
        <f t="shared" si="73"/>
        <v>0</v>
      </c>
      <c r="AF145" s="344">
        <f t="shared" si="74"/>
        <v>0</v>
      </c>
      <c r="AG145" s="345">
        <f t="shared" si="75"/>
        <v>0</v>
      </c>
      <c r="AH145" s="345">
        <f t="shared" si="76"/>
        <v>0</v>
      </c>
      <c r="AI145" s="345">
        <f t="shared" si="77"/>
        <v>0</v>
      </c>
      <c r="AJ145" s="306">
        <f t="shared" si="78"/>
        <v>0</v>
      </c>
      <c r="AK145" s="306">
        <f t="shared" si="79"/>
        <v>0</v>
      </c>
      <c r="AL145" s="306">
        <f t="shared" si="80"/>
        <v>0</v>
      </c>
      <c r="AM145" s="749"/>
      <c r="AN145" s="763"/>
      <c r="AO145" s="780"/>
      <c r="AP145" s="898">
        <f t="shared" si="81"/>
        <v>0</v>
      </c>
      <c r="AQ145" s="900">
        <f t="shared" si="82"/>
        <v>0</v>
      </c>
      <c r="AR145" s="896">
        <f t="shared" si="83"/>
        <v>0</v>
      </c>
      <c r="AS145" s="780"/>
      <c r="AT145" s="780"/>
      <c r="AU145" s="780"/>
      <c r="AV145" s="780"/>
      <c r="AW145" s="780"/>
      <c r="AX145" s="780"/>
      <c r="AY145" s="780"/>
      <c r="AZ145" s="780"/>
      <c r="BA145" s="780"/>
      <c r="BG145" s="440"/>
    </row>
    <row r="146" spans="1:59" x14ac:dyDescent="0.2">
      <c r="A146" s="346"/>
      <c r="B146" s="347"/>
      <c r="C146" s="358"/>
      <c r="D146" s="349"/>
      <c r="E146" s="349"/>
      <c r="F146" s="350"/>
      <c r="G146" s="1211">
        <f t="shared" si="60"/>
        <v>0</v>
      </c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1236">
        <f t="shared" si="61"/>
        <v>0</v>
      </c>
      <c r="S146" s="1237">
        <f t="shared" si="62"/>
        <v>0</v>
      </c>
      <c r="T146" s="341"/>
      <c r="U146" s="381">
        <f t="shared" si="63"/>
        <v>0</v>
      </c>
      <c r="V146" s="342">
        <f t="shared" si="64"/>
        <v>0</v>
      </c>
      <c r="W146" s="342">
        <f t="shared" si="65"/>
        <v>0</v>
      </c>
      <c r="X146" s="342">
        <f t="shared" si="66"/>
        <v>0</v>
      </c>
      <c r="Y146" s="382">
        <f t="shared" si="67"/>
        <v>0</v>
      </c>
      <c r="Z146" s="343">
        <f t="shared" si="68"/>
        <v>0</v>
      </c>
      <c r="AA146" s="343">
        <f t="shared" si="69"/>
        <v>0</v>
      </c>
      <c r="AB146" s="343">
        <f t="shared" si="70"/>
        <v>0</v>
      </c>
      <c r="AC146" s="383">
        <f t="shared" si="71"/>
        <v>0</v>
      </c>
      <c r="AD146" s="344">
        <f t="shared" si="72"/>
        <v>0</v>
      </c>
      <c r="AE146" s="344">
        <f t="shared" si="73"/>
        <v>0</v>
      </c>
      <c r="AF146" s="344">
        <f t="shared" si="74"/>
        <v>0</v>
      </c>
      <c r="AG146" s="345">
        <f t="shared" si="75"/>
        <v>0</v>
      </c>
      <c r="AH146" s="345">
        <f t="shared" si="76"/>
        <v>0</v>
      </c>
      <c r="AI146" s="345">
        <f t="shared" si="77"/>
        <v>0</v>
      </c>
      <c r="AJ146" s="306">
        <f t="shared" si="78"/>
        <v>0</v>
      </c>
      <c r="AK146" s="306">
        <f t="shared" si="79"/>
        <v>0</v>
      </c>
      <c r="AL146" s="306">
        <f t="shared" si="80"/>
        <v>0</v>
      </c>
      <c r="AM146" s="749"/>
      <c r="AN146" s="763"/>
      <c r="AO146" s="780"/>
      <c r="AP146" s="898">
        <f t="shared" si="81"/>
        <v>0</v>
      </c>
      <c r="AQ146" s="900">
        <f t="shared" si="82"/>
        <v>0</v>
      </c>
      <c r="AR146" s="896">
        <f t="shared" si="83"/>
        <v>0</v>
      </c>
      <c r="AS146" s="780"/>
      <c r="AT146" s="780"/>
      <c r="AU146" s="780"/>
      <c r="AV146" s="780"/>
      <c r="AW146" s="780"/>
      <c r="AX146" s="780"/>
      <c r="AY146" s="780"/>
      <c r="AZ146" s="780"/>
      <c r="BA146" s="780"/>
      <c r="BG146" s="440"/>
    </row>
    <row r="147" spans="1:59" x14ac:dyDescent="0.2">
      <c r="A147" s="346"/>
      <c r="B147" s="347"/>
      <c r="C147" s="358"/>
      <c r="D147" s="349"/>
      <c r="E147" s="349"/>
      <c r="F147" s="350"/>
      <c r="G147" s="1211">
        <f t="shared" si="60"/>
        <v>0</v>
      </c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1236">
        <f t="shared" si="61"/>
        <v>0</v>
      </c>
      <c r="S147" s="1237">
        <f t="shared" si="62"/>
        <v>0</v>
      </c>
      <c r="T147" s="341"/>
      <c r="U147" s="381">
        <f t="shared" si="63"/>
        <v>0</v>
      </c>
      <c r="V147" s="342">
        <f t="shared" si="64"/>
        <v>0</v>
      </c>
      <c r="W147" s="342">
        <f t="shared" si="65"/>
        <v>0</v>
      </c>
      <c r="X147" s="342">
        <f t="shared" si="66"/>
        <v>0</v>
      </c>
      <c r="Y147" s="382">
        <f t="shared" si="67"/>
        <v>0</v>
      </c>
      <c r="Z147" s="343">
        <f t="shared" si="68"/>
        <v>0</v>
      </c>
      <c r="AA147" s="343">
        <f t="shared" si="69"/>
        <v>0</v>
      </c>
      <c r="AB147" s="343">
        <f t="shared" si="70"/>
        <v>0</v>
      </c>
      <c r="AC147" s="383">
        <f t="shared" si="71"/>
        <v>0</v>
      </c>
      <c r="AD147" s="344">
        <f t="shared" si="72"/>
        <v>0</v>
      </c>
      <c r="AE147" s="344">
        <f t="shared" si="73"/>
        <v>0</v>
      </c>
      <c r="AF147" s="344">
        <f t="shared" si="74"/>
        <v>0</v>
      </c>
      <c r="AG147" s="345">
        <f t="shared" si="75"/>
        <v>0</v>
      </c>
      <c r="AH147" s="345">
        <f t="shared" si="76"/>
        <v>0</v>
      </c>
      <c r="AI147" s="345">
        <f t="shared" si="77"/>
        <v>0</v>
      </c>
      <c r="AJ147" s="306">
        <f t="shared" si="78"/>
        <v>0</v>
      </c>
      <c r="AK147" s="306">
        <f t="shared" si="79"/>
        <v>0</v>
      </c>
      <c r="AL147" s="306">
        <f t="shared" si="80"/>
        <v>0</v>
      </c>
      <c r="AM147" s="749"/>
      <c r="AN147" s="763"/>
      <c r="AO147" s="780"/>
      <c r="AP147" s="898">
        <f t="shared" si="81"/>
        <v>0</v>
      </c>
      <c r="AQ147" s="900">
        <f t="shared" si="82"/>
        <v>0</v>
      </c>
      <c r="AR147" s="896">
        <f t="shared" si="83"/>
        <v>0</v>
      </c>
      <c r="AS147" s="780"/>
      <c r="AT147" s="780"/>
      <c r="AU147" s="780"/>
      <c r="AV147" s="780"/>
      <c r="AW147" s="780"/>
      <c r="AX147" s="780"/>
      <c r="AY147" s="780"/>
      <c r="AZ147" s="780"/>
      <c r="BA147" s="780"/>
      <c r="BG147" s="440"/>
    </row>
    <row r="148" spans="1:59" x14ac:dyDescent="0.2">
      <c r="A148" s="346"/>
      <c r="B148" s="347"/>
      <c r="C148" s="358"/>
      <c r="D148" s="349"/>
      <c r="E148" s="349"/>
      <c r="F148" s="350"/>
      <c r="G148" s="1211">
        <f t="shared" si="60"/>
        <v>0</v>
      </c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1236">
        <f t="shared" si="61"/>
        <v>0</v>
      </c>
      <c r="S148" s="1237">
        <f t="shared" si="62"/>
        <v>0</v>
      </c>
      <c r="T148" s="341"/>
      <c r="U148" s="381">
        <f t="shared" si="63"/>
        <v>0</v>
      </c>
      <c r="V148" s="342">
        <f t="shared" si="64"/>
        <v>0</v>
      </c>
      <c r="W148" s="342">
        <f t="shared" si="65"/>
        <v>0</v>
      </c>
      <c r="X148" s="342">
        <f t="shared" si="66"/>
        <v>0</v>
      </c>
      <c r="Y148" s="382">
        <f t="shared" si="67"/>
        <v>0</v>
      </c>
      <c r="Z148" s="343">
        <f t="shared" si="68"/>
        <v>0</v>
      </c>
      <c r="AA148" s="343">
        <f t="shared" si="69"/>
        <v>0</v>
      </c>
      <c r="AB148" s="343">
        <f t="shared" si="70"/>
        <v>0</v>
      </c>
      <c r="AC148" s="383">
        <f t="shared" si="71"/>
        <v>0</v>
      </c>
      <c r="AD148" s="344">
        <f t="shared" si="72"/>
        <v>0</v>
      </c>
      <c r="AE148" s="344">
        <f t="shared" si="73"/>
        <v>0</v>
      </c>
      <c r="AF148" s="344">
        <f t="shared" si="74"/>
        <v>0</v>
      </c>
      <c r="AG148" s="345">
        <f t="shared" si="75"/>
        <v>0</v>
      </c>
      <c r="AH148" s="345">
        <f t="shared" si="76"/>
        <v>0</v>
      </c>
      <c r="AI148" s="345">
        <f t="shared" si="77"/>
        <v>0</v>
      </c>
      <c r="AJ148" s="306">
        <f t="shared" si="78"/>
        <v>0</v>
      </c>
      <c r="AK148" s="306">
        <f t="shared" si="79"/>
        <v>0</v>
      </c>
      <c r="AL148" s="306">
        <f t="shared" si="80"/>
        <v>0</v>
      </c>
      <c r="AM148" s="749"/>
      <c r="AN148" s="763"/>
      <c r="AO148" s="780"/>
      <c r="AP148" s="898">
        <f t="shared" si="81"/>
        <v>0</v>
      </c>
      <c r="AQ148" s="900">
        <f t="shared" si="82"/>
        <v>0</v>
      </c>
      <c r="AR148" s="896">
        <f t="shared" si="83"/>
        <v>0</v>
      </c>
      <c r="AS148" s="780"/>
      <c r="AT148" s="780"/>
      <c r="AU148" s="780"/>
      <c r="AV148" s="780"/>
      <c r="AW148" s="780"/>
      <c r="AX148" s="780"/>
      <c r="AY148" s="780"/>
      <c r="AZ148" s="780"/>
      <c r="BA148" s="780"/>
      <c r="BG148" s="440"/>
    </row>
    <row r="149" spans="1:59" x14ac:dyDescent="0.2">
      <c r="A149" s="346"/>
      <c r="B149" s="347"/>
      <c r="C149" s="358"/>
      <c r="D149" s="349"/>
      <c r="E149" s="349"/>
      <c r="F149" s="350"/>
      <c r="G149" s="1211">
        <f t="shared" si="60"/>
        <v>0</v>
      </c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1236">
        <f t="shared" si="61"/>
        <v>0</v>
      </c>
      <c r="S149" s="1237">
        <f t="shared" si="62"/>
        <v>0</v>
      </c>
      <c r="T149" s="341"/>
      <c r="U149" s="381">
        <f t="shared" si="63"/>
        <v>0</v>
      </c>
      <c r="V149" s="342">
        <f t="shared" si="64"/>
        <v>0</v>
      </c>
      <c r="W149" s="342">
        <f t="shared" si="65"/>
        <v>0</v>
      </c>
      <c r="X149" s="342">
        <f t="shared" si="66"/>
        <v>0</v>
      </c>
      <c r="Y149" s="382">
        <f t="shared" si="67"/>
        <v>0</v>
      </c>
      <c r="Z149" s="343">
        <f t="shared" si="68"/>
        <v>0</v>
      </c>
      <c r="AA149" s="343">
        <f t="shared" si="69"/>
        <v>0</v>
      </c>
      <c r="AB149" s="343">
        <f t="shared" si="70"/>
        <v>0</v>
      </c>
      <c r="AC149" s="383">
        <f t="shared" si="71"/>
        <v>0</v>
      </c>
      <c r="AD149" s="344">
        <f t="shared" si="72"/>
        <v>0</v>
      </c>
      <c r="AE149" s="344">
        <f t="shared" si="73"/>
        <v>0</v>
      </c>
      <c r="AF149" s="344">
        <f t="shared" si="74"/>
        <v>0</v>
      </c>
      <c r="AG149" s="345">
        <f t="shared" si="75"/>
        <v>0</v>
      </c>
      <c r="AH149" s="345">
        <f t="shared" si="76"/>
        <v>0</v>
      </c>
      <c r="AI149" s="345">
        <f t="shared" si="77"/>
        <v>0</v>
      </c>
      <c r="AJ149" s="306">
        <f t="shared" si="78"/>
        <v>0</v>
      </c>
      <c r="AK149" s="306">
        <f t="shared" si="79"/>
        <v>0</v>
      </c>
      <c r="AL149" s="306">
        <f t="shared" si="80"/>
        <v>0</v>
      </c>
      <c r="AM149" s="749"/>
      <c r="AN149" s="763"/>
      <c r="AO149" s="780"/>
      <c r="AP149" s="898">
        <f t="shared" si="81"/>
        <v>0</v>
      </c>
      <c r="AQ149" s="900">
        <f t="shared" si="82"/>
        <v>0</v>
      </c>
      <c r="AR149" s="896">
        <f t="shared" si="83"/>
        <v>0</v>
      </c>
      <c r="AS149" s="780"/>
      <c r="AT149" s="780"/>
      <c r="AU149" s="780"/>
      <c r="AV149" s="780"/>
      <c r="AW149" s="780"/>
      <c r="AX149" s="780"/>
      <c r="AY149" s="780"/>
      <c r="AZ149" s="780"/>
      <c r="BA149" s="780"/>
      <c r="BG149" s="440"/>
    </row>
    <row r="150" spans="1:59" x14ac:dyDescent="0.2">
      <c r="A150" s="346"/>
      <c r="B150" s="347"/>
      <c r="C150" s="358"/>
      <c r="D150" s="349"/>
      <c r="E150" s="349"/>
      <c r="F150" s="350"/>
      <c r="G150" s="1211">
        <f t="shared" si="60"/>
        <v>0</v>
      </c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1236">
        <f t="shared" si="61"/>
        <v>0</v>
      </c>
      <c r="S150" s="1237">
        <f t="shared" si="62"/>
        <v>0</v>
      </c>
      <c r="T150" s="341"/>
      <c r="U150" s="381">
        <f t="shared" si="63"/>
        <v>0</v>
      </c>
      <c r="V150" s="342">
        <f t="shared" si="64"/>
        <v>0</v>
      </c>
      <c r="W150" s="342">
        <f t="shared" si="65"/>
        <v>0</v>
      </c>
      <c r="X150" s="342">
        <f t="shared" si="66"/>
        <v>0</v>
      </c>
      <c r="Y150" s="382">
        <f t="shared" si="67"/>
        <v>0</v>
      </c>
      <c r="Z150" s="343">
        <f t="shared" si="68"/>
        <v>0</v>
      </c>
      <c r="AA150" s="343">
        <f t="shared" si="69"/>
        <v>0</v>
      </c>
      <c r="AB150" s="343">
        <f t="shared" si="70"/>
        <v>0</v>
      </c>
      <c r="AC150" s="383">
        <f t="shared" si="71"/>
        <v>0</v>
      </c>
      <c r="AD150" s="344">
        <f t="shared" si="72"/>
        <v>0</v>
      </c>
      <c r="AE150" s="344">
        <f t="shared" si="73"/>
        <v>0</v>
      </c>
      <c r="AF150" s="344">
        <f t="shared" si="74"/>
        <v>0</v>
      </c>
      <c r="AG150" s="345">
        <f t="shared" si="75"/>
        <v>0</v>
      </c>
      <c r="AH150" s="345">
        <f t="shared" si="76"/>
        <v>0</v>
      </c>
      <c r="AI150" s="345">
        <f t="shared" si="77"/>
        <v>0</v>
      </c>
      <c r="AJ150" s="306">
        <f t="shared" si="78"/>
        <v>0</v>
      </c>
      <c r="AK150" s="306">
        <f t="shared" si="79"/>
        <v>0</v>
      </c>
      <c r="AL150" s="306">
        <f t="shared" si="80"/>
        <v>0</v>
      </c>
      <c r="AM150" s="749"/>
      <c r="AN150" s="763"/>
      <c r="AO150" s="780"/>
      <c r="AP150" s="898">
        <f t="shared" si="81"/>
        <v>0</v>
      </c>
      <c r="AQ150" s="900">
        <f t="shared" si="82"/>
        <v>0</v>
      </c>
      <c r="AR150" s="896">
        <f t="shared" si="83"/>
        <v>0</v>
      </c>
      <c r="AS150" s="780"/>
      <c r="AT150" s="780"/>
      <c r="AU150" s="780"/>
      <c r="AV150" s="780"/>
      <c r="AW150" s="780"/>
      <c r="AX150" s="780"/>
      <c r="AY150" s="780"/>
      <c r="AZ150" s="780"/>
      <c r="BA150" s="780"/>
      <c r="BG150" s="440"/>
    </row>
    <row r="151" spans="1:59" x14ac:dyDescent="0.2">
      <c r="A151" s="346"/>
      <c r="B151" s="347"/>
      <c r="C151" s="358"/>
      <c r="D151" s="349"/>
      <c r="E151" s="349"/>
      <c r="F151" s="350"/>
      <c r="G151" s="1211">
        <f t="shared" si="60"/>
        <v>0</v>
      </c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1236">
        <f t="shared" si="61"/>
        <v>0</v>
      </c>
      <c r="S151" s="1237">
        <f t="shared" si="62"/>
        <v>0</v>
      </c>
      <c r="T151" s="341"/>
      <c r="U151" s="381">
        <f t="shared" si="63"/>
        <v>0</v>
      </c>
      <c r="V151" s="342">
        <f t="shared" si="64"/>
        <v>0</v>
      </c>
      <c r="W151" s="342">
        <f t="shared" si="65"/>
        <v>0</v>
      </c>
      <c r="X151" s="342">
        <f t="shared" si="66"/>
        <v>0</v>
      </c>
      <c r="Y151" s="382">
        <f t="shared" si="67"/>
        <v>0</v>
      </c>
      <c r="Z151" s="343">
        <f t="shared" si="68"/>
        <v>0</v>
      </c>
      <c r="AA151" s="343">
        <f t="shared" si="69"/>
        <v>0</v>
      </c>
      <c r="AB151" s="343">
        <f t="shared" si="70"/>
        <v>0</v>
      </c>
      <c r="AC151" s="383">
        <f t="shared" si="71"/>
        <v>0</v>
      </c>
      <c r="AD151" s="344">
        <f t="shared" si="72"/>
        <v>0</v>
      </c>
      <c r="AE151" s="344">
        <f t="shared" si="73"/>
        <v>0</v>
      </c>
      <c r="AF151" s="344">
        <f t="shared" si="74"/>
        <v>0</v>
      </c>
      <c r="AG151" s="345">
        <f t="shared" si="75"/>
        <v>0</v>
      </c>
      <c r="AH151" s="345">
        <f t="shared" si="76"/>
        <v>0</v>
      </c>
      <c r="AI151" s="345">
        <f t="shared" si="77"/>
        <v>0</v>
      </c>
      <c r="AJ151" s="306">
        <f t="shared" si="78"/>
        <v>0</v>
      </c>
      <c r="AK151" s="306">
        <f t="shared" si="79"/>
        <v>0</v>
      </c>
      <c r="AL151" s="306">
        <f t="shared" si="80"/>
        <v>0</v>
      </c>
      <c r="AM151" s="749"/>
      <c r="AN151" s="763"/>
      <c r="AO151" s="780"/>
      <c r="AP151" s="898">
        <f t="shared" si="81"/>
        <v>0</v>
      </c>
      <c r="AQ151" s="900">
        <f t="shared" si="82"/>
        <v>0</v>
      </c>
      <c r="AR151" s="896">
        <f t="shared" si="83"/>
        <v>0</v>
      </c>
      <c r="AS151" s="780"/>
      <c r="AT151" s="780"/>
      <c r="AU151" s="780"/>
      <c r="AV151" s="780"/>
      <c r="AW151" s="780"/>
      <c r="AX151" s="780"/>
      <c r="AY151" s="780"/>
      <c r="AZ151" s="780"/>
      <c r="BA151" s="780"/>
      <c r="BG151" s="440"/>
    </row>
    <row r="152" spans="1:59" x14ac:dyDescent="0.2">
      <c r="A152" s="346"/>
      <c r="B152" s="347"/>
      <c r="C152" s="358"/>
      <c r="D152" s="349"/>
      <c r="E152" s="349"/>
      <c r="F152" s="350"/>
      <c r="G152" s="1211">
        <f t="shared" si="60"/>
        <v>0</v>
      </c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1236">
        <f t="shared" si="61"/>
        <v>0</v>
      </c>
      <c r="S152" s="1237">
        <f t="shared" si="62"/>
        <v>0</v>
      </c>
      <c r="T152" s="341"/>
      <c r="U152" s="381">
        <f t="shared" si="63"/>
        <v>0</v>
      </c>
      <c r="V152" s="342">
        <f t="shared" si="64"/>
        <v>0</v>
      </c>
      <c r="W152" s="342">
        <f t="shared" si="65"/>
        <v>0</v>
      </c>
      <c r="X152" s="342">
        <f t="shared" si="66"/>
        <v>0</v>
      </c>
      <c r="Y152" s="382">
        <f t="shared" si="67"/>
        <v>0</v>
      </c>
      <c r="Z152" s="343">
        <f t="shared" si="68"/>
        <v>0</v>
      </c>
      <c r="AA152" s="343">
        <f t="shared" si="69"/>
        <v>0</v>
      </c>
      <c r="AB152" s="343">
        <f t="shared" si="70"/>
        <v>0</v>
      </c>
      <c r="AC152" s="383">
        <f t="shared" si="71"/>
        <v>0</v>
      </c>
      <c r="AD152" s="344">
        <f t="shared" si="72"/>
        <v>0</v>
      </c>
      <c r="AE152" s="344">
        <f t="shared" si="73"/>
        <v>0</v>
      </c>
      <c r="AF152" s="344">
        <f t="shared" si="74"/>
        <v>0</v>
      </c>
      <c r="AG152" s="345">
        <f t="shared" si="75"/>
        <v>0</v>
      </c>
      <c r="AH152" s="345">
        <f t="shared" si="76"/>
        <v>0</v>
      </c>
      <c r="AI152" s="345">
        <f t="shared" si="77"/>
        <v>0</v>
      </c>
      <c r="AJ152" s="306">
        <f t="shared" si="78"/>
        <v>0</v>
      </c>
      <c r="AK152" s="306">
        <f t="shared" si="79"/>
        <v>0</v>
      </c>
      <c r="AL152" s="306">
        <f t="shared" si="80"/>
        <v>0</v>
      </c>
      <c r="AM152" s="749"/>
      <c r="AN152" s="763"/>
      <c r="AO152" s="780"/>
      <c r="AP152" s="898">
        <f t="shared" si="81"/>
        <v>0</v>
      </c>
      <c r="AQ152" s="900">
        <f t="shared" si="82"/>
        <v>0</v>
      </c>
      <c r="AR152" s="896">
        <f t="shared" si="83"/>
        <v>0</v>
      </c>
      <c r="AS152" s="780"/>
      <c r="AT152" s="780"/>
      <c r="AU152" s="780"/>
      <c r="AV152" s="780"/>
      <c r="AW152" s="780"/>
      <c r="AX152" s="780"/>
      <c r="AY152" s="780"/>
      <c r="AZ152" s="780"/>
      <c r="BA152" s="780"/>
      <c r="BG152" s="440"/>
    </row>
    <row r="153" spans="1:59" x14ac:dyDescent="0.2">
      <c r="A153" s="346"/>
      <c r="B153" s="347"/>
      <c r="C153" s="358"/>
      <c r="D153" s="349"/>
      <c r="E153" s="349"/>
      <c r="F153" s="350"/>
      <c r="G153" s="1211">
        <f t="shared" si="60"/>
        <v>0</v>
      </c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1236">
        <f t="shared" si="61"/>
        <v>0</v>
      </c>
      <c r="S153" s="1237">
        <f t="shared" si="62"/>
        <v>0</v>
      </c>
      <c r="T153" s="341"/>
      <c r="U153" s="381">
        <f t="shared" si="63"/>
        <v>0</v>
      </c>
      <c r="V153" s="342">
        <f t="shared" si="64"/>
        <v>0</v>
      </c>
      <c r="W153" s="342">
        <f t="shared" si="65"/>
        <v>0</v>
      </c>
      <c r="X153" s="342">
        <f t="shared" si="66"/>
        <v>0</v>
      </c>
      <c r="Y153" s="382">
        <f t="shared" si="67"/>
        <v>0</v>
      </c>
      <c r="Z153" s="343">
        <f t="shared" si="68"/>
        <v>0</v>
      </c>
      <c r="AA153" s="343">
        <f t="shared" si="69"/>
        <v>0</v>
      </c>
      <c r="AB153" s="343">
        <f t="shared" si="70"/>
        <v>0</v>
      </c>
      <c r="AC153" s="383">
        <f t="shared" si="71"/>
        <v>0</v>
      </c>
      <c r="AD153" s="344">
        <f t="shared" si="72"/>
        <v>0</v>
      </c>
      <c r="AE153" s="344">
        <f t="shared" si="73"/>
        <v>0</v>
      </c>
      <c r="AF153" s="344">
        <f t="shared" si="74"/>
        <v>0</v>
      </c>
      <c r="AG153" s="345">
        <f t="shared" si="75"/>
        <v>0</v>
      </c>
      <c r="AH153" s="345">
        <f t="shared" si="76"/>
        <v>0</v>
      </c>
      <c r="AI153" s="345">
        <f t="shared" si="77"/>
        <v>0</v>
      </c>
      <c r="AJ153" s="306">
        <f t="shared" si="78"/>
        <v>0</v>
      </c>
      <c r="AK153" s="306">
        <f t="shared" si="79"/>
        <v>0</v>
      </c>
      <c r="AL153" s="306">
        <f t="shared" si="80"/>
        <v>0</v>
      </c>
      <c r="AM153" s="749"/>
      <c r="AN153" s="763"/>
      <c r="AO153" s="780"/>
      <c r="AP153" s="898">
        <f t="shared" si="81"/>
        <v>0</v>
      </c>
      <c r="AQ153" s="900">
        <f t="shared" si="82"/>
        <v>0</v>
      </c>
      <c r="AR153" s="896">
        <f t="shared" si="83"/>
        <v>0</v>
      </c>
      <c r="AS153" s="780"/>
      <c r="AT153" s="780"/>
      <c r="AU153" s="780"/>
      <c r="AV153" s="780"/>
      <c r="AW153" s="780"/>
      <c r="AX153" s="780"/>
      <c r="AY153" s="780"/>
      <c r="AZ153" s="780"/>
      <c r="BA153" s="780"/>
      <c r="BG153" s="440"/>
    </row>
    <row r="154" spans="1:59" x14ac:dyDescent="0.2">
      <c r="A154" s="346"/>
      <c r="B154" s="347"/>
      <c r="C154" s="358"/>
      <c r="D154" s="349"/>
      <c r="E154" s="349"/>
      <c r="F154" s="350"/>
      <c r="G154" s="1211">
        <f t="shared" si="60"/>
        <v>0</v>
      </c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1236">
        <f t="shared" si="61"/>
        <v>0</v>
      </c>
      <c r="S154" s="1237">
        <f t="shared" si="62"/>
        <v>0</v>
      </c>
      <c r="T154" s="341"/>
      <c r="U154" s="381">
        <f t="shared" si="63"/>
        <v>0</v>
      </c>
      <c r="V154" s="342">
        <f t="shared" si="64"/>
        <v>0</v>
      </c>
      <c r="W154" s="342">
        <f t="shared" si="65"/>
        <v>0</v>
      </c>
      <c r="X154" s="342">
        <f t="shared" si="66"/>
        <v>0</v>
      </c>
      <c r="Y154" s="382">
        <f t="shared" si="67"/>
        <v>0</v>
      </c>
      <c r="Z154" s="343">
        <f t="shared" si="68"/>
        <v>0</v>
      </c>
      <c r="AA154" s="343">
        <f t="shared" si="69"/>
        <v>0</v>
      </c>
      <c r="AB154" s="343">
        <f t="shared" si="70"/>
        <v>0</v>
      </c>
      <c r="AC154" s="383">
        <f t="shared" si="71"/>
        <v>0</v>
      </c>
      <c r="AD154" s="344">
        <f t="shared" si="72"/>
        <v>0</v>
      </c>
      <c r="AE154" s="344">
        <f t="shared" si="73"/>
        <v>0</v>
      </c>
      <c r="AF154" s="344">
        <f t="shared" si="74"/>
        <v>0</v>
      </c>
      <c r="AG154" s="345">
        <f t="shared" si="75"/>
        <v>0</v>
      </c>
      <c r="AH154" s="345">
        <f t="shared" si="76"/>
        <v>0</v>
      </c>
      <c r="AI154" s="345">
        <f t="shared" si="77"/>
        <v>0</v>
      </c>
      <c r="AJ154" s="306">
        <f t="shared" si="78"/>
        <v>0</v>
      </c>
      <c r="AK154" s="306">
        <f t="shared" si="79"/>
        <v>0</v>
      </c>
      <c r="AL154" s="306">
        <f t="shared" si="80"/>
        <v>0</v>
      </c>
      <c r="AM154" s="749"/>
      <c r="AN154" s="763"/>
      <c r="AO154" s="780"/>
      <c r="AP154" s="898">
        <f t="shared" si="81"/>
        <v>0</v>
      </c>
      <c r="AQ154" s="900">
        <f t="shared" si="82"/>
        <v>0</v>
      </c>
      <c r="AR154" s="896">
        <f t="shared" si="83"/>
        <v>0</v>
      </c>
      <c r="AS154" s="780"/>
      <c r="AT154" s="780"/>
      <c r="AU154" s="780"/>
      <c r="AV154" s="780"/>
      <c r="AW154" s="780"/>
      <c r="AX154" s="780"/>
      <c r="AY154" s="780"/>
      <c r="AZ154" s="780"/>
      <c r="BA154" s="780"/>
      <c r="BF154" s="439"/>
      <c r="BG154" s="440"/>
    </row>
    <row r="155" spans="1:59" x14ac:dyDescent="0.2">
      <c r="A155" s="346"/>
      <c r="B155" s="347"/>
      <c r="C155" s="358"/>
      <c r="D155" s="349"/>
      <c r="E155" s="349"/>
      <c r="F155" s="350"/>
      <c r="G155" s="1211">
        <f t="shared" si="60"/>
        <v>0</v>
      </c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1236">
        <f t="shared" si="61"/>
        <v>0</v>
      </c>
      <c r="S155" s="1237">
        <f t="shared" si="62"/>
        <v>0</v>
      </c>
      <c r="T155" s="341"/>
      <c r="U155" s="381">
        <f t="shared" si="63"/>
        <v>0</v>
      </c>
      <c r="V155" s="342">
        <f t="shared" si="64"/>
        <v>0</v>
      </c>
      <c r="W155" s="342">
        <f t="shared" si="65"/>
        <v>0</v>
      </c>
      <c r="X155" s="342">
        <f t="shared" si="66"/>
        <v>0</v>
      </c>
      <c r="Y155" s="382">
        <f t="shared" si="67"/>
        <v>0</v>
      </c>
      <c r="Z155" s="343">
        <f t="shared" si="68"/>
        <v>0</v>
      </c>
      <c r="AA155" s="343">
        <f t="shared" si="69"/>
        <v>0</v>
      </c>
      <c r="AB155" s="343">
        <f t="shared" si="70"/>
        <v>0</v>
      </c>
      <c r="AC155" s="383">
        <f t="shared" si="71"/>
        <v>0</v>
      </c>
      <c r="AD155" s="344">
        <f t="shared" si="72"/>
        <v>0</v>
      </c>
      <c r="AE155" s="344">
        <f t="shared" si="73"/>
        <v>0</v>
      </c>
      <c r="AF155" s="344">
        <f t="shared" si="74"/>
        <v>0</v>
      </c>
      <c r="AG155" s="345">
        <f t="shared" si="75"/>
        <v>0</v>
      </c>
      <c r="AH155" s="345">
        <f t="shared" si="76"/>
        <v>0</v>
      </c>
      <c r="AI155" s="345">
        <f t="shared" si="77"/>
        <v>0</v>
      </c>
      <c r="AJ155" s="306">
        <f t="shared" si="78"/>
        <v>0</v>
      </c>
      <c r="AK155" s="306">
        <f t="shared" si="79"/>
        <v>0</v>
      </c>
      <c r="AL155" s="306">
        <f t="shared" si="80"/>
        <v>0</v>
      </c>
      <c r="AM155" s="749"/>
      <c r="AN155" s="763"/>
      <c r="AO155" s="780"/>
      <c r="AP155" s="898">
        <f t="shared" si="81"/>
        <v>0</v>
      </c>
      <c r="AQ155" s="900">
        <f t="shared" si="82"/>
        <v>0</v>
      </c>
      <c r="AR155" s="896">
        <f t="shared" si="83"/>
        <v>0</v>
      </c>
      <c r="AS155" s="780"/>
      <c r="AT155" s="780"/>
      <c r="AU155" s="780"/>
      <c r="AV155" s="780"/>
      <c r="AW155" s="780"/>
      <c r="AX155" s="780"/>
      <c r="AY155" s="780"/>
      <c r="AZ155" s="780"/>
      <c r="BA155" s="780"/>
      <c r="BG155" s="440"/>
    </row>
    <row r="156" spans="1:59" x14ac:dyDescent="0.2">
      <c r="A156" s="346"/>
      <c r="B156" s="347"/>
      <c r="C156" s="358"/>
      <c r="D156" s="349"/>
      <c r="E156" s="349"/>
      <c r="F156" s="350"/>
      <c r="G156" s="1211">
        <f t="shared" si="60"/>
        <v>0</v>
      </c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1236">
        <f t="shared" si="61"/>
        <v>0</v>
      </c>
      <c r="S156" s="1237">
        <f t="shared" si="62"/>
        <v>0</v>
      </c>
      <c r="T156" s="341"/>
      <c r="U156" s="381">
        <f t="shared" si="63"/>
        <v>0</v>
      </c>
      <c r="V156" s="342">
        <f t="shared" si="64"/>
        <v>0</v>
      </c>
      <c r="W156" s="342">
        <f t="shared" si="65"/>
        <v>0</v>
      </c>
      <c r="X156" s="342">
        <f t="shared" si="66"/>
        <v>0</v>
      </c>
      <c r="Y156" s="382">
        <f t="shared" si="67"/>
        <v>0</v>
      </c>
      <c r="Z156" s="343">
        <f t="shared" si="68"/>
        <v>0</v>
      </c>
      <c r="AA156" s="343">
        <f t="shared" si="69"/>
        <v>0</v>
      </c>
      <c r="AB156" s="343">
        <f t="shared" si="70"/>
        <v>0</v>
      </c>
      <c r="AC156" s="383">
        <f t="shared" si="71"/>
        <v>0</v>
      </c>
      <c r="AD156" s="344">
        <f t="shared" si="72"/>
        <v>0</v>
      </c>
      <c r="AE156" s="344">
        <f t="shared" si="73"/>
        <v>0</v>
      </c>
      <c r="AF156" s="344">
        <f t="shared" si="74"/>
        <v>0</v>
      </c>
      <c r="AG156" s="345">
        <f t="shared" si="75"/>
        <v>0</v>
      </c>
      <c r="AH156" s="345">
        <f t="shared" si="76"/>
        <v>0</v>
      </c>
      <c r="AI156" s="345">
        <f t="shared" si="77"/>
        <v>0</v>
      </c>
      <c r="AJ156" s="306">
        <f t="shared" si="78"/>
        <v>0</v>
      </c>
      <c r="AK156" s="306">
        <f t="shared" si="79"/>
        <v>0</v>
      </c>
      <c r="AL156" s="306">
        <f t="shared" si="80"/>
        <v>0</v>
      </c>
      <c r="AM156" s="749"/>
      <c r="AN156" s="763"/>
      <c r="AO156" s="780"/>
      <c r="AP156" s="898">
        <f t="shared" si="81"/>
        <v>0</v>
      </c>
      <c r="AQ156" s="900">
        <f t="shared" si="82"/>
        <v>0</v>
      </c>
      <c r="AR156" s="896">
        <f t="shared" si="83"/>
        <v>0</v>
      </c>
      <c r="AS156" s="780"/>
      <c r="AT156" s="780"/>
      <c r="AU156" s="780"/>
      <c r="AV156" s="780"/>
      <c r="AW156" s="780"/>
      <c r="AX156" s="780"/>
      <c r="AY156" s="780"/>
      <c r="AZ156" s="780"/>
      <c r="BA156" s="780"/>
      <c r="BG156" s="440"/>
    </row>
    <row r="157" spans="1:59" x14ac:dyDescent="0.2">
      <c r="A157" s="346"/>
      <c r="B157" s="347"/>
      <c r="C157" s="358"/>
      <c r="D157" s="349"/>
      <c r="E157" s="349"/>
      <c r="F157" s="350"/>
      <c r="G157" s="1211">
        <f t="shared" si="60"/>
        <v>0</v>
      </c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1236">
        <f t="shared" si="61"/>
        <v>0</v>
      </c>
      <c r="S157" s="1237">
        <f t="shared" si="62"/>
        <v>0</v>
      </c>
      <c r="T157" s="341"/>
      <c r="U157" s="381">
        <f t="shared" si="63"/>
        <v>0</v>
      </c>
      <c r="V157" s="342">
        <f t="shared" si="64"/>
        <v>0</v>
      </c>
      <c r="W157" s="342">
        <f t="shared" si="65"/>
        <v>0</v>
      </c>
      <c r="X157" s="342">
        <f t="shared" si="66"/>
        <v>0</v>
      </c>
      <c r="Y157" s="382">
        <f t="shared" si="67"/>
        <v>0</v>
      </c>
      <c r="Z157" s="343">
        <f t="shared" si="68"/>
        <v>0</v>
      </c>
      <c r="AA157" s="343">
        <f t="shared" si="69"/>
        <v>0</v>
      </c>
      <c r="AB157" s="343">
        <f t="shared" si="70"/>
        <v>0</v>
      </c>
      <c r="AC157" s="383">
        <f t="shared" si="71"/>
        <v>0</v>
      </c>
      <c r="AD157" s="344">
        <f t="shared" si="72"/>
        <v>0</v>
      </c>
      <c r="AE157" s="344">
        <f t="shared" si="73"/>
        <v>0</v>
      </c>
      <c r="AF157" s="344">
        <f t="shared" si="74"/>
        <v>0</v>
      </c>
      <c r="AG157" s="345">
        <f t="shared" si="75"/>
        <v>0</v>
      </c>
      <c r="AH157" s="345">
        <f t="shared" si="76"/>
        <v>0</v>
      </c>
      <c r="AI157" s="345">
        <f t="shared" si="77"/>
        <v>0</v>
      </c>
      <c r="AJ157" s="306">
        <f t="shared" si="78"/>
        <v>0</v>
      </c>
      <c r="AK157" s="306">
        <f t="shared" si="79"/>
        <v>0</v>
      </c>
      <c r="AL157" s="306">
        <f t="shared" si="80"/>
        <v>0</v>
      </c>
      <c r="AM157" s="749"/>
      <c r="AN157" s="763"/>
      <c r="AO157" s="780"/>
      <c r="AP157" s="898">
        <f t="shared" si="81"/>
        <v>0</v>
      </c>
      <c r="AQ157" s="900">
        <f t="shared" si="82"/>
        <v>0</v>
      </c>
      <c r="AR157" s="896">
        <f t="shared" si="83"/>
        <v>0</v>
      </c>
      <c r="AS157" s="780"/>
      <c r="AT157" s="780"/>
      <c r="AU157" s="780"/>
      <c r="AV157" s="780"/>
      <c r="AW157" s="780"/>
      <c r="AX157" s="780"/>
      <c r="AY157" s="780"/>
      <c r="AZ157" s="780"/>
      <c r="BA157" s="780"/>
      <c r="BG157" s="440"/>
    </row>
    <row r="158" spans="1:59" x14ac:dyDescent="0.2">
      <c r="A158" s="346"/>
      <c r="B158" s="347"/>
      <c r="C158" s="358"/>
      <c r="D158" s="349"/>
      <c r="E158" s="349"/>
      <c r="F158" s="350"/>
      <c r="G158" s="1211">
        <f t="shared" si="60"/>
        <v>0</v>
      </c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1236">
        <f t="shared" si="61"/>
        <v>0</v>
      </c>
      <c r="S158" s="1237">
        <f t="shared" si="62"/>
        <v>0</v>
      </c>
      <c r="T158" s="341"/>
      <c r="U158" s="381">
        <f t="shared" si="63"/>
        <v>0</v>
      </c>
      <c r="V158" s="342">
        <f t="shared" si="64"/>
        <v>0</v>
      </c>
      <c r="W158" s="342">
        <f t="shared" si="65"/>
        <v>0</v>
      </c>
      <c r="X158" s="342">
        <f t="shared" si="66"/>
        <v>0</v>
      </c>
      <c r="Y158" s="382">
        <f t="shared" si="67"/>
        <v>0</v>
      </c>
      <c r="Z158" s="343">
        <f t="shared" si="68"/>
        <v>0</v>
      </c>
      <c r="AA158" s="343">
        <f t="shared" si="69"/>
        <v>0</v>
      </c>
      <c r="AB158" s="343">
        <f t="shared" si="70"/>
        <v>0</v>
      </c>
      <c r="AC158" s="383">
        <f t="shared" si="71"/>
        <v>0</v>
      </c>
      <c r="AD158" s="344">
        <f t="shared" si="72"/>
        <v>0</v>
      </c>
      <c r="AE158" s="344">
        <f t="shared" si="73"/>
        <v>0</v>
      </c>
      <c r="AF158" s="344">
        <f t="shared" si="74"/>
        <v>0</v>
      </c>
      <c r="AG158" s="345">
        <f t="shared" si="75"/>
        <v>0</v>
      </c>
      <c r="AH158" s="345">
        <f t="shared" si="76"/>
        <v>0</v>
      </c>
      <c r="AI158" s="345">
        <f t="shared" si="77"/>
        <v>0</v>
      </c>
      <c r="AJ158" s="306">
        <f t="shared" si="78"/>
        <v>0</v>
      </c>
      <c r="AK158" s="306">
        <f t="shared" si="79"/>
        <v>0</v>
      </c>
      <c r="AL158" s="306">
        <f t="shared" si="80"/>
        <v>0</v>
      </c>
      <c r="AM158" s="749"/>
      <c r="AN158" s="763"/>
      <c r="AO158" s="780"/>
      <c r="AP158" s="898">
        <f t="shared" si="81"/>
        <v>0</v>
      </c>
      <c r="AQ158" s="900">
        <f t="shared" si="82"/>
        <v>0</v>
      </c>
      <c r="AR158" s="896">
        <f t="shared" si="83"/>
        <v>0</v>
      </c>
      <c r="AS158" s="780"/>
      <c r="AT158" s="780"/>
      <c r="AU158" s="780"/>
      <c r="AV158" s="780"/>
      <c r="AW158" s="780"/>
      <c r="AX158" s="780"/>
      <c r="AY158" s="780"/>
      <c r="AZ158" s="780"/>
      <c r="BA158" s="780"/>
      <c r="BG158" s="440"/>
    </row>
    <row r="159" spans="1:59" x14ac:dyDescent="0.2">
      <c r="A159" s="346"/>
      <c r="B159" s="347"/>
      <c r="C159" s="358"/>
      <c r="D159" s="349"/>
      <c r="E159" s="349"/>
      <c r="F159" s="350"/>
      <c r="G159" s="1211">
        <f t="shared" si="60"/>
        <v>0</v>
      </c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1236">
        <f t="shared" si="61"/>
        <v>0</v>
      </c>
      <c r="S159" s="1237">
        <f t="shared" si="62"/>
        <v>0</v>
      </c>
      <c r="T159" s="341"/>
      <c r="U159" s="381">
        <f t="shared" si="63"/>
        <v>0</v>
      </c>
      <c r="V159" s="342">
        <f t="shared" si="64"/>
        <v>0</v>
      </c>
      <c r="W159" s="342">
        <f t="shared" si="65"/>
        <v>0</v>
      </c>
      <c r="X159" s="342">
        <f t="shared" si="66"/>
        <v>0</v>
      </c>
      <c r="Y159" s="382">
        <f t="shared" si="67"/>
        <v>0</v>
      </c>
      <c r="Z159" s="343">
        <f t="shared" si="68"/>
        <v>0</v>
      </c>
      <c r="AA159" s="343">
        <f t="shared" si="69"/>
        <v>0</v>
      </c>
      <c r="AB159" s="343">
        <f t="shared" si="70"/>
        <v>0</v>
      </c>
      <c r="AC159" s="383">
        <f t="shared" si="71"/>
        <v>0</v>
      </c>
      <c r="AD159" s="344">
        <f t="shared" si="72"/>
        <v>0</v>
      </c>
      <c r="AE159" s="344">
        <f t="shared" si="73"/>
        <v>0</v>
      </c>
      <c r="AF159" s="344">
        <f t="shared" si="74"/>
        <v>0</v>
      </c>
      <c r="AG159" s="345">
        <f t="shared" si="75"/>
        <v>0</v>
      </c>
      <c r="AH159" s="345">
        <f t="shared" si="76"/>
        <v>0</v>
      </c>
      <c r="AI159" s="345">
        <f t="shared" si="77"/>
        <v>0</v>
      </c>
      <c r="AJ159" s="306">
        <f t="shared" si="78"/>
        <v>0</v>
      </c>
      <c r="AK159" s="306">
        <f t="shared" si="79"/>
        <v>0</v>
      </c>
      <c r="AL159" s="306">
        <f t="shared" si="80"/>
        <v>0</v>
      </c>
      <c r="AM159" s="749"/>
      <c r="AN159" s="763"/>
      <c r="AO159" s="780"/>
      <c r="AP159" s="898">
        <f t="shared" si="81"/>
        <v>0</v>
      </c>
      <c r="AQ159" s="900">
        <f t="shared" si="82"/>
        <v>0</v>
      </c>
      <c r="AR159" s="896">
        <f t="shared" si="83"/>
        <v>0</v>
      </c>
      <c r="AS159" s="780"/>
      <c r="AT159" s="780"/>
      <c r="AU159" s="780"/>
      <c r="AV159" s="780"/>
      <c r="AW159" s="780"/>
      <c r="AX159" s="780"/>
      <c r="AY159" s="780"/>
      <c r="AZ159" s="780"/>
      <c r="BA159" s="780"/>
      <c r="BG159" s="440"/>
    </row>
    <row r="160" spans="1:59" x14ac:dyDescent="0.2">
      <c r="A160" s="346"/>
      <c r="B160" s="347"/>
      <c r="C160" s="358"/>
      <c r="D160" s="349"/>
      <c r="E160" s="349"/>
      <c r="F160" s="350"/>
      <c r="G160" s="1211">
        <f t="shared" si="60"/>
        <v>0</v>
      </c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1236">
        <f t="shared" si="61"/>
        <v>0</v>
      </c>
      <c r="S160" s="1237">
        <f t="shared" si="62"/>
        <v>0</v>
      </c>
      <c r="T160" s="341"/>
      <c r="U160" s="381">
        <f t="shared" si="63"/>
        <v>0</v>
      </c>
      <c r="V160" s="342">
        <f t="shared" si="64"/>
        <v>0</v>
      </c>
      <c r="W160" s="342">
        <f t="shared" si="65"/>
        <v>0</v>
      </c>
      <c r="X160" s="342">
        <f t="shared" si="66"/>
        <v>0</v>
      </c>
      <c r="Y160" s="382">
        <f t="shared" si="67"/>
        <v>0</v>
      </c>
      <c r="Z160" s="343">
        <f t="shared" si="68"/>
        <v>0</v>
      </c>
      <c r="AA160" s="343">
        <f t="shared" si="69"/>
        <v>0</v>
      </c>
      <c r="AB160" s="343">
        <f t="shared" si="70"/>
        <v>0</v>
      </c>
      <c r="AC160" s="383">
        <f t="shared" si="71"/>
        <v>0</v>
      </c>
      <c r="AD160" s="344">
        <f t="shared" si="72"/>
        <v>0</v>
      </c>
      <c r="AE160" s="344">
        <f t="shared" si="73"/>
        <v>0</v>
      </c>
      <c r="AF160" s="344">
        <f t="shared" si="74"/>
        <v>0</v>
      </c>
      <c r="AG160" s="345">
        <f t="shared" si="75"/>
        <v>0</v>
      </c>
      <c r="AH160" s="345">
        <f t="shared" si="76"/>
        <v>0</v>
      </c>
      <c r="AI160" s="345">
        <f t="shared" si="77"/>
        <v>0</v>
      </c>
      <c r="AJ160" s="306">
        <f t="shared" si="78"/>
        <v>0</v>
      </c>
      <c r="AK160" s="306">
        <f t="shared" si="79"/>
        <v>0</v>
      </c>
      <c r="AL160" s="306">
        <f t="shared" si="80"/>
        <v>0</v>
      </c>
      <c r="AM160" s="749"/>
      <c r="AN160" s="763"/>
      <c r="AO160" s="780"/>
      <c r="AP160" s="898">
        <f t="shared" si="81"/>
        <v>0</v>
      </c>
      <c r="AQ160" s="900">
        <f t="shared" si="82"/>
        <v>0</v>
      </c>
      <c r="AR160" s="896">
        <f t="shared" si="83"/>
        <v>0</v>
      </c>
      <c r="AS160" s="780"/>
      <c r="AT160" s="780"/>
      <c r="AU160" s="780"/>
      <c r="AV160" s="780"/>
      <c r="AW160" s="780"/>
      <c r="AX160" s="780"/>
      <c r="AY160" s="780"/>
      <c r="AZ160" s="780"/>
      <c r="BA160" s="780"/>
      <c r="BG160" s="440"/>
    </row>
    <row r="161" spans="1:59" x14ac:dyDescent="0.2">
      <c r="A161" s="346"/>
      <c r="B161" s="347"/>
      <c r="C161" s="358"/>
      <c r="D161" s="349"/>
      <c r="E161" s="349"/>
      <c r="F161" s="350"/>
      <c r="G161" s="1211">
        <f t="shared" si="60"/>
        <v>0</v>
      </c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1236">
        <f t="shared" si="61"/>
        <v>0</v>
      </c>
      <c r="S161" s="1237">
        <f t="shared" si="62"/>
        <v>0</v>
      </c>
      <c r="T161" s="341"/>
      <c r="U161" s="381">
        <f t="shared" si="63"/>
        <v>0</v>
      </c>
      <c r="V161" s="342">
        <f t="shared" si="64"/>
        <v>0</v>
      </c>
      <c r="W161" s="342">
        <f t="shared" si="65"/>
        <v>0</v>
      </c>
      <c r="X161" s="342">
        <f t="shared" si="66"/>
        <v>0</v>
      </c>
      <c r="Y161" s="382">
        <f t="shared" si="67"/>
        <v>0</v>
      </c>
      <c r="Z161" s="343">
        <f t="shared" si="68"/>
        <v>0</v>
      </c>
      <c r="AA161" s="343">
        <f t="shared" si="69"/>
        <v>0</v>
      </c>
      <c r="AB161" s="343">
        <f t="shared" si="70"/>
        <v>0</v>
      </c>
      <c r="AC161" s="383">
        <f t="shared" si="71"/>
        <v>0</v>
      </c>
      <c r="AD161" s="344">
        <f t="shared" si="72"/>
        <v>0</v>
      </c>
      <c r="AE161" s="344">
        <f t="shared" si="73"/>
        <v>0</v>
      </c>
      <c r="AF161" s="344">
        <f t="shared" si="74"/>
        <v>0</v>
      </c>
      <c r="AG161" s="345">
        <f t="shared" si="75"/>
        <v>0</v>
      </c>
      <c r="AH161" s="345">
        <f t="shared" si="76"/>
        <v>0</v>
      </c>
      <c r="AI161" s="345">
        <f t="shared" si="77"/>
        <v>0</v>
      </c>
      <c r="AJ161" s="306">
        <f t="shared" si="78"/>
        <v>0</v>
      </c>
      <c r="AK161" s="306">
        <f t="shared" si="79"/>
        <v>0</v>
      </c>
      <c r="AL161" s="306">
        <f t="shared" si="80"/>
        <v>0</v>
      </c>
      <c r="AM161" s="749"/>
      <c r="AN161" s="763"/>
      <c r="AO161" s="780"/>
      <c r="AP161" s="898">
        <f t="shared" si="81"/>
        <v>0</v>
      </c>
      <c r="AQ161" s="900">
        <f t="shared" si="82"/>
        <v>0</v>
      </c>
      <c r="AR161" s="896">
        <f t="shared" si="83"/>
        <v>0</v>
      </c>
      <c r="AS161" s="780"/>
      <c r="AT161" s="780"/>
      <c r="AU161" s="780"/>
      <c r="AV161" s="780"/>
      <c r="AW161" s="780"/>
      <c r="AX161" s="780"/>
      <c r="AY161" s="780"/>
      <c r="AZ161" s="780"/>
      <c r="BA161" s="780"/>
      <c r="BG161" s="440"/>
    </row>
    <row r="162" spans="1:59" x14ac:dyDescent="0.2">
      <c r="A162" s="346"/>
      <c r="B162" s="347"/>
      <c r="C162" s="358"/>
      <c r="D162" s="349"/>
      <c r="E162" s="349"/>
      <c r="F162" s="350"/>
      <c r="G162" s="1211">
        <f t="shared" si="60"/>
        <v>0</v>
      </c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1236">
        <f t="shared" si="61"/>
        <v>0</v>
      </c>
      <c r="S162" s="1237">
        <f t="shared" si="62"/>
        <v>0</v>
      </c>
      <c r="T162" s="341"/>
      <c r="U162" s="381">
        <f t="shared" si="63"/>
        <v>0</v>
      </c>
      <c r="V162" s="342">
        <f t="shared" si="64"/>
        <v>0</v>
      </c>
      <c r="W162" s="342">
        <f t="shared" si="65"/>
        <v>0</v>
      </c>
      <c r="X162" s="342">
        <f t="shared" si="66"/>
        <v>0</v>
      </c>
      <c r="Y162" s="382">
        <f t="shared" si="67"/>
        <v>0</v>
      </c>
      <c r="Z162" s="343">
        <f t="shared" si="68"/>
        <v>0</v>
      </c>
      <c r="AA162" s="343">
        <f t="shared" si="69"/>
        <v>0</v>
      </c>
      <c r="AB162" s="343">
        <f t="shared" si="70"/>
        <v>0</v>
      </c>
      <c r="AC162" s="383">
        <f t="shared" si="71"/>
        <v>0</v>
      </c>
      <c r="AD162" s="344">
        <f t="shared" si="72"/>
        <v>0</v>
      </c>
      <c r="AE162" s="344">
        <f t="shared" si="73"/>
        <v>0</v>
      </c>
      <c r="AF162" s="344">
        <f t="shared" si="74"/>
        <v>0</v>
      </c>
      <c r="AG162" s="345">
        <f t="shared" si="75"/>
        <v>0</v>
      </c>
      <c r="AH162" s="345">
        <f t="shared" si="76"/>
        <v>0</v>
      </c>
      <c r="AI162" s="345">
        <f t="shared" si="77"/>
        <v>0</v>
      </c>
      <c r="AJ162" s="306">
        <f t="shared" si="78"/>
        <v>0</v>
      </c>
      <c r="AK162" s="306">
        <f t="shared" si="79"/>
        <v>0</v>
      </c>
      <c r="AL162" s="306">
        <f t="shared" si="80"/>
        <v>0</v>
      </c>
      <c r="AM162" s="749"/>
      <c r="AN162" s="763"/>
      <c r="AO162" s="780"/>
      <c r="AP162" s="898">
        <f t="shared" si="81"/>
        <v>0</v>
      </c>
      <c r="AQ162" s="900">
        <f t="shared" si="82"/>
        <v>0</v>
      </c>
      <c r="AR162" s="896">
        <f t="shared" si="83"/>
        <v>0</v>
      </c>
      <c r="AS162" s="780"/>
      <c r="AT162" s="780"/>
      <c r="AU162" s="780"/>
      <c r="AV162" s="780"/>
      <c r="AW162" s="780"/>
      <c r="AX162" s="780"/>
      <c r="AY162" s="780"/>
      <c r="AZ162" s="780"/>
      <c r="BA162" s="780"/>
      <c r="BG162" s="440"/>
    </row>
    <row r="163" spans="1:59" x14ac:dyDescent="0.2">
      <c r="A163" s="346"/>
      <c r="B163" s="347"/>
      <c r="C163" s="358"/>
      <c r="D163" s="349"/>
      <c r="E163" s="349"/>
      <c r="F163" s="350"/>
      <c r="G163" s="1211">
        <f t="shared" si="60"/>
        <v>0</v>
      </c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1236">
        <f t="shared" ref="R163:R194" si="84">IFERROR(IF(A163&lt;&gt;"GfB",(SUM(G163:J163,L163,P163)*12+(N163+O163))*(100+$J$12+$J$13)%+((K163+M163+Q163)*12),(SUM(G163:J163,L163,P163)*12+(N163+O163))*(100+$J$15+$J$13)%+((K163+M163+Q163)*12)),0)</f>
        <v>0</v>
      </c>
      <c r="S163" s="1237">
        <f t="shared" ref="S163:S194" si="85">IF(ISERROR(R163/C163),0,(R163/C163))</f>
        <v>0</v>
      </c>
      <c r="T163" s="341"/>
      <c r="U163" s="381">
        <f t="shared" si="63"/>
        <v>0</v>
      </c>
      <c r="V163" s="342">
        <f t="shared" si="64"/>
        <v>0</v>
      </c>
      <c r="W163" s="342">
        <f t="shared" si="65"/>
        <v>0</v>
      </c>
      <c r="X163" s="342">
        <f t="shared" si="66"/>
        <v>0</v>
      </c>
      <c r="Y163" s="382">
        <f t="shared" si="67"/>
        <v>0</v>
      </c>
      <c r="Z163" s="343">
        <f t="shared" si="68"/>
        <v>0</v>
      </c>
      <c r="AA163" s="343">
        <f t="shared" si="69"/>
        <v>0</v>
      </c>
      <c r="AB163" s="343">
        <f t="shared" si="70"/>
        <v>0</v>
      </c>
      <c r="AC163" s="383">
        <f t="shared" si="71"/>
        <v>0</v>
      </c>
      <c r="AD163" s="344">
        <f t="shared" si="72"/>
        <v>0</v>
      </c>
      <c r="AE163" s="344">
        <f t="shared" si="73"/>
        <v>0</v>
      </c>
      <c r="AF163" s="344">
        <f t="shared" si="74"/>
        <v>0</v>
      </c>
      <c r="AG163" s="345">
        <f t="shared" si="75"/>
        <v>0</v>
      </c>
      <c r="AH163" s="345">
        <f t="shared" si="76"/>
        <v>0</v>
      </c>
      <c r="AI163" s="345">
        <f t="shared" si="77"/>
        <v>0</v>
      </c>
      <c r="AJ163" s="306">
        <f t="shared" ref="AJ163:AJ194" si="86">IF(AND($B163="PFK/BFK",$C163&gt;0,$F163&gt;0),$R163,0)</f>
        <v>0</v>
      </c>
      <c r="AK163" s="306">
        <f t="shared" ref="AK163:AK194" si="87">IF(AND($B163="PK/BK",$C163&gt;0,$F163&gt;0),$R163,0)</f>
        <v>0</v>
      </c>
      <c r="AL163" s="306">
        <f t="shared" ref="AL163:AL194" si="88">IF(AND($B163="PK/BK o.",$C163&gt;0,$F163&gt;0),$R163,0)</f>
        <v>0</v>
      </c>
      <c r="AM163" s="749"/>
      <c r="AN163" s="763"/>
      <c r="AO163" s="780"/>
      <c r="AP163" s="898">
        <f t="shared" si="81"/>
        <v>0</v>
      </c>
      <c r="AQ163" s="900">
        <f t="shared" si="82"/>
        <v>0</v>
      </c>
      <c r="AR163" s="896">
        <f t="shared" si="83"/>
        <v>0</v>
      </c>
      <c r="AS163" s="780"/>
      <c r="AT163" s="780"/>
      <c r="AU163" s="780"/>
      <c r="AV163" s="780"/>
      <c r="AW163" s="780"/>
      <c r="AX163" s="780"/>
      <c r="AY163" s="780"/>
      <c r="AZ163" s="780"/>
      <c r="BA163" s="780"/>
      <c r="BG163" s="440"/>
    </row>
    <row r="164" spans="1:59" x14ac:dyDescent="0.2">
      <c r="A164" s="346"/>
      <c r="B164" s="347"/>
      <c r="C164" s="358"/>
      <c r="D164" s="349"/>
      <c r="E164" s="349"/>
      <c r="F164" s="350"/>
      <c r="G164" s="1211">
        <f t="shared" si="60"/>
        <v>0</v>
      </c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1236">
        <f t="shared" si="84"/>
        <v>0</v>
      </c>
      <c r="S164" s="1237">
        <f t="shared" si="85"/>
        <v>0</v>
      </c>
      <c r="T164" s="341"/>
      <c r="U164" s="381">
        <f t="shared" si="63"/>
        <v>0</v>
      </c>
      <c r="V164" s="342">
        <f t="shared" si="64"/>
        <v>0</v>
      </c>
      <c r="W164" s="342">
        <f t="shared" si="65"/>
        <v>0</v>
      </c>
      <c r="X164" s="342">
        <f t="shared" si="66"/>
        <v>0</v>
      </c>
      <c r="Y164" s="382">
        <f t="shared" si="67"/>
        <v>0</v>
      </c>
      <c r="Z164" s="343">
        <f t="shared" si="68"/>
        <v>0</v>
      </c>
      <c r="AA164" s="343">
        <f t="shared" si="69"/>
        <v>0</v>
      </c>
      <c r="AB164" s="343">
        <f t="shared" si="70"/>
        <v>0</v>
      </c>
      <c r="AC164" s="383">
        <f t="shared" si="71"/>
        <v>0</v>
      </c>
      <c r="AD164" s="344">
        <f t="shared" si="72"/>
        <v>0</v>
      </c>
      <c r="AE164" s="344">
        <f t="shared" si="73"/>
        <v>0</v>
      </c>
      <c r="AF164" s="344">
        <f t="shared" si="74"/>
        <v>0</v>
      </c>
      <c r="AG164" s="345">
        <f t="shared" si="75"/>
        <v>0</v>
      </c>
      <c r="AH164" s="345">
        <f t="shared" si="76"/>
        <v>0</v>
      </c>
      <c r="AI164" s="345">
        <f t="shared" si="77"/>
        <v>0</v>
      </c>
      <c r="AJ164" s="306">
        <f t="shared" si="86"/>
        <v>0</v>
      </c>
      <c r="AK164" s="306">
        <f t="shared" si="87"/>
        <v>0</v>
      </c>
      <c r="AL164" s="306">
        <f t="shared" si="88"/>
        <v>0</v>
      </c>
      <c r="AM164" s="749"/>
      <c r="AN164" s="763"/>
      <c r="AO164" s="780"/>
      <c r="AP164" s="898">
        <f t="shared" si="81"/>
        <v>0</v>
      </c>
      <c r="AQ164" s="900">
        <f t="shared" si="82"/>
        <v>0</v>
      </c>
      <c r="AR164" s="896">
        <f t="shared" si="83"/>
        <v>0</v>
      </c>
      <c r="AS164" s="780"/>
      <c r="AT164" s="780"/>
      <c r="AU164" s="780"/>
      <c r="AV164" s="780"/>
      <c r="AW164" s="780"/>
      <c r="AX164" s="780"/>
      <c r="AY164" s="780"/>
      <c r="AZ164" s="780"/>
      <c r="BA164" s="780"/>
      <c r="BG164" s="440"/>
    </row>
    <row r="165" spans="1:59" x14ac:dyDescent="0.2">
      <c r="A165" s="346"/>
      <c r="B165" s="347"/>
      <c r="C165" s="358"/>
      <c r="D165" s="349"/>
      <c r="E165" s="349"/>
      <c r="F165" s="350"/>
      <c r="G165" s="1211">
        <f t="shared" si="60"/>
        <v>0</v>
      </c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1236">
        <f t="shared" si="84"/>
        <v>0</v>
      </c>
      <c r="S165" s="1237">
        <f t="shared" si="85"/>
        <v>0</v>
      </c>
      <c r="T165" s="341"/>
      <c r="U165" s="381">
        <f t="shared" si="63"/>
        <v>0</v>
      </c>
      <c r="V165" s="342">
        <f t="shared" si="64"/>
        <v>0</v>
      </c>
      <c r="W165" s="342">
        <f t="shared" si="65"/>
        <v>0</v>
      </c>
      <c r="X165" s="342">
        <f t="shared" si="66"/>
        <v>0</v>
      </c>
      <c r="Y165" s="382">
        <f t="shared" si="67"/>
        <v>0</v>
      </c>
      <c r="Z165" s="343">
        <f t="shared" si="68"/>
        <v>0</v>
      </c>
      <c r="AA165" s="343">
        <f t="shared" si="69"/>
        <v>0</v>
      </c>
      <c r="AB165" s="343">
        <f t="shared" si="70"/>
        <v>0</v>
      </c>
      <c r="AC165" s="383">
        <f t="shared" si="71"/>
        <v>0</v>
      </c>
      <c r="AD165" s="344">
        <f t="shared" si="72"/>
        <v>0</v>
      </c>
      <c r="AE165" s="344">
        <f t="shared" si="73"/>
        <v>0</v>
      </c>
      <c r="AF165" s="344">
        <f t="shared" si="74"/>
        <v>0</v>
      </c>
      <c r="AG165" s="345">
        <f t="shared" si="75"/>
        <v>0</v>
      </c>
      <c r="AH165" s="345">
        <f t="shared" si="76"/>
        <v>0</v>
      </c>
      <c r="AI165" s="345">
        <f t="shared" si="77"/>
        <v>0</v>
      </c>
      <c r="AJ165" s="306">
        <f t="shared" si="86"/>
        <v>0</v>
      </c>
      <c r="AK165" s="306">
        <f t="shared" si="87"/>
        <v>0</v>
      </c>
      <c r="AL165" s="306">
        <f t="shared" si="88"/>
        <v>0</v>
      </c>
      <c r="AM165" s="749"/>
      <c r="AN165" s="763"/>
      <c r="AO165" s="780"/>
      <c r="AP165" s="898">
        <f t="shared" si="81"/>
        <v>0</v>
      </c>
      <c r="AQ165" s="900">
        <f t="shared" si="82"/>
        <v>0</v>
      </c>
      <c r="AR165" s="896">
        <f t="shared" si="83"/>
        <v>0</v>
      </c>
      <c r="AS165" s="780"/>
      <c r="AT165" s="780"/>
      <c r="AU165" s="780"/>
      <c r="AV165" s="780"/>
      <c r="AW165" s="780"/>
      <c r="AX165" s="780"/>
      <c r="AY165" s="780"/>
      <c r="AZ165" s="780"/>
      <c r="BA165" s="780"/>
      <c r="BG165" s="440"/>
    </row>
    <row r="166" spans="1:59" x14ac:dyDescent="0.2">
      <c r="A166" s="346"/>
      <c r="B166" s="347"/>
      <c r="C166" s="358"/>
      <c r="D166" s="349"/>
      <c r="E166" s="349"/>
      <c r="F166" s="350"/>
      <c r="G166" s="1211">
        <f t="shared" si="60"/>
        <v>0</v>
      </c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1236">
        <f t="shared" si="84"/>
        <v>0</v>
      </c>
      <c r="S166" s="1237">
        <f t="shared" si="85"/>
        <v>0</v>
      </c>
      <c r="T166" s="341"/>
      <c r="U166" s="381">
        <f t="shared" si="63"/>
        <v>0</v>
      </c>
      <c r="V166" s="342">
        <f t="shared" si="64"/>
        <v>0</v>
      </c>
      <c r="W166" s="342">
        <f t="shared" si="65"/>
        <v>0</v>
      </c>
      <c r="X166" s="342">
        <f t="shared" si="66"/>
        <v>0</v>
      </c>
      <c r="Y166" s="382">
        <f t="shared" si="67"/>
        <v>0</v>
      </c>
      <c r="Z166" s="343">
        <f t="shared" si="68"/>
        <v>0</v>
      </c>
      <c r="AA166" s="343">
        <f t="shared" si="69"/>
        <v>0</v>
      </c>
      <c r="AB166" s="343">
        <f t="shared" si="70"/>
        <v>0</v>
      </c>
      <c r="AC166" s="383">
        <f t="shared" si="71"/>
        <v>0</v>
      </c>
      <c r="AD166" s="344">
        <f t="shared" si="72"/>
        <v>0</v>
      </c>
      <c r="AE166" s="344">
        <f t="shared" si="73"/>
        <v>0</v>
      </c>
      <c r="AF166" s="344">
        <f t="shared" si="74"/>
        <v>0</v>
      </c>
      <c r="AG166" s="345">
        <f t="shared" si="75"/>
        <v>0</v>
      </c>
      <c r="AH166" s="345">
        <f t="shared" si="76"/>
        <v>0</v>
      </c>
      <c r="AI166" s="345">
        <f t="shared" si="77"/>
        <v>0</v>
      </c>
      <c r="AJ166" s="306">
        <f t="shared" si="86"/>
        <v>0</v>
      </c>
      <c r="AK166" s="306">
        <f t="shared" si="87"/>
        <v>0</v>
      </c>
      <c r="AL166" s="306">
        <f t="shared" si="88"/>
        <v>0</v>
      </c>
      <c r="AM166" s="749"/>
      <c r="AN166" s="763"/>
      <c r="AO166" s="780"/>
      <c r="AP166" s="898">
        <f t="shared" si="81"/>
        <v>0</v>
      </c>
      <c r="AQ166" s="900">
        <f t="shared" si="82"/>
        <v>0</v>
      </c>
      <c r="AR166" s="896">
        <f t="shared" si="83"/>
        <v>0</v>
      </c>
      <c r="AS166" s="780"/>
      <c r="AT166" s="780"/>
      <c r="AU166" s="780"/>
      <c r="AV166" s="780"/>
      <c r="AW166" s="780"/>
      <c r="AX166" s="780"/>
      <c r="AY166" s="780"/>
      <c r="AZ166" s="780"/>
      <c r="BA166" s="780"/>
      <c r="BG166" s="440"/>
    </row>
    <row r="167" spans="1:59" x14ac:dyDescent="0.2">
      <c r="A167" s="346"/>
      <c r="B167" s="347"/>
      <c r="C167" s="358"/>
      <c r="D167" s="349"/>
      <c r="E167" s="349"/>
      <c r="F167" s="350"/>
      <c r="G167" s="1211">
        <f t="shared" si="60"/>
        <v>0</v>
      </c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1236">
        <f t="shared" si="84"/>
        <v>0</v>
      </c>
      <c r="S167" s="1237">
        <f t="shared" si="85"/>
        <v>0</v>
      </c>
      <c r="T167" s="341"/>
      <c r="U167" s="381">
        <f t="shared" si="63"/>
        <v>0</v>
      </c>
      <c r="V167" s="342">
        <f t="shared" si="64"/>
        <v>0</v>
      </c>
      <c r="W167" s="342">
        <f t="shared" si="65"/>
        <v>0</v>
      </c>
      <c r="X167" s="342">
        <f t="shared" si="66"/>
        <v>0</v>
      </c>
      <c r="Y167" s="382">
        <f t="shared" si="67"/>
        <v>0</v>
      </c>
      <c r="Z167" s="343">
        <f t="shared" si="68"/>
        <v>0</v>
      </c>
      <c r="AA167" s="343">
        <f t="shared" si="69"/>
        <v>0</v>
      </c>
      <c r="AB167" s="343">
        <f t="shared" si="70"/>
        <v>0</v>
      </c>
      <c r="AC167" s="383">
        <f t="shared" si="71"/>
        <v>0</v>
      </c>
      <c r="AD167" s="344">
        <f t="shared" si="72"/>
        <v>0</v>
      </c>
      <c r="AE167" s="344">
        <f t="shared" si="73"/>
        <v>0</v>
      </c>
      <c r="AF167" s="344">
        <f t="shared" si="74"/>
        <v>0</v>
      </c>
      <c r="AG167" s="345">
        <f t="shared" si="75"/>
        <v>0</v>
      </c>
      <c r="AH167" s="345">
        <f t="shared" si="76"/>
        <v>0</v>
      </c>
      <c r="AI167" s="345">
        <f t="shared" si="77"/>
        <v>0</v>
      </c>
      <c r="AJ167" s="306">
        <f t="shared" si="86"/>
        <v>0</v>
      </c>
      <c r="AK167" s="306">
        <f t="shared" si="87"/>
        <v>0</v>
      </c>
      <c r="AL167" s="306">
        <f t="shared" si="88"/>
        <v>0</v>
      </c>
      <c r="AM167" s="749"/>
      <c r="AN167" s="763"/>
      <c r="AO167" s="780"/>
      <c r="AP167" s="898">
        <f t="shared" si="81"/>
        <v>0</v>
      </c>
      <c r="AQ167" s="900">
        <f t="shared" si="82"/>
        <v>0</v>
      </c>
      <c r="AR167" s="896">
        <f t="shared" si="83"/>
        <v>0</v>
      </c>
      <c r="AS167" s="780"/>
      <c r="AT167" s="780"/>
      <c r="AU167" s="780"/>
      <c r="AV167" s="780"/>
      <c r="AW167" s="780"/>
      <c r="AX167" s="780"/>
      <c r="AY167" s="780"/>
      <c r="AZ167" s="780"/>
      <c r="BA167" s="780"/>
      <c r="BG167" s="440"/>
    </row>
    <row r="168" spans="1:59" x14ac:dyDescent="0.2">
      <c r="A168" s="346"/>
      <c r="B168" s="347"/>
      <c r="C168" s="358"/>
      <c r="D168" s="349"/>
      <c r="E168" s="349"/>
      <c r="F168" s="350"/>
      <c r="G168" s="1211">
        <f t="shared" si="60"/>
        <v>0</v>
      </c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1236">
        <f t="shared" si="84"/>
        <v>0</v>
      </c>
      <c r="S168" s="1237">
        <f t="shared" si="85"/>
        <v>0</v>
      </c>
      <c r="T168" s="341"/>
      <c r="U168" s="381">
        <f t="shared" si="63"/>
        <v>0</v>
      </c>
      <c r="V168" s="342">
        <f t="shared" si="64"/>
        <v>0</v>
      </c>
      <c r="W168" s="342">
        <f t="shared" si="65"/>
        <v>0</v>
      </c>
      <c r="X168" s="342">
        <f t="shared" si="66"/>
        <v>0</v>
      </c>
      <c r="Y168" s="382">
        <f t="shared" si="67"/>
        <v>0</v>
      </c>
      <c r="Z168" s="343">
        <f t="shared" si="68"/>
        <v>0</v>
      </c>
      <c r="AA168" s="343">
        <f t="shared" si="69"/>
        <v>0</v>
      </c>
      <c r="AB168" s="343">
        <f t="shared" si="70"/>
        <v>0</v>
      </c>
      <c r="AC168" s="383">
        <f t="shared" si="71"/>
        <v>0</v>
      </c>
      <c r="AD168" s="344">
        <f t="shared" si="72"/>
        <v>0</v>
      </c>
      <c r="AE168" s="344">
        <f t="shared" si="73"/>
        <v>0</v>
      </c>
      <c r="AF168" s="344">
        <f t="shared" si="74"/>
        <v>0</v>
      </c>
      <c r="AG168" s="345">
        <f t="shared" si="75"/>
        <v>0</v>
      </c>
      <c r="AH168" s="345">
        <f t="shared" si="76"/>
        <v>0</v>
      </c>
      <c r="AI168" s="345">
        <f t="shared" si="77"/>
        <v>0</v>
      </c>
      <c r="AJ168" s="306">
        <f t="shared" si="86"/>
        <v>0</v>
      </c>
      <c r="AK168" s="306">
        <f t="shared" si="87"/>
        <v>0</v>
      </c>
      <c r="AL168" s="306">
        <f t="shared" si="88"/>
        <v>0</v>
      </c>
      <c r="AM168" s="749"/>
      <c r="AN168" s="763"/>
      <c r="AO168" s="780"/>
      <c r="AP168" s="898">
        <f t="shared" si="81"/>
        <v>0</v>
      </c>
      <c r="AQ168" s="900">
        <f t="shared" si="82"/>
        <v>0</v>
      </c>
      <c r="AR168" s="896">
        <f t="shared" si="83"/>
        <v>0</v>
      </c>
      <c r="AS168" s="780"/>
      <c r="AT168" s="780"/>
      <c r="AU168" s="780"/>
      <c r="AV168" s="780"/>
      <c r="AW168" s="780"/>
      <c r="AX168" s="780"/>
      <c r="AY168" s="780"/>
      <c r="AZ168" s="780"/>
      <c r="BA168" s="780"/>
      <c r="BG168" s="440"/>
    </row>
    <row r="169" spans="1:59" x14ac:dyDescent="0.2">
      <c r="A169" s="346"/>
      <c r="B169" s="347"/>
      <c r="C169" s="358"/>
      <c r="D169" s="349"/>
      <c r="E169" s="349"/>
      <c r="F169" s="350"/>
      <c r="G169" s="1211">
        <f t="shared" si="60"/>
        <v>0</v>
      </c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1236">
        <f t="shared" si="84"/>
        <v>0</v>
      </c>
      <c r="S169" s="1237">
        <f t="shared" si="85"/>
        <v>0</v>
      </c>
      <c r="T169" s="341"/>
      <c r="U169" s="381">
        <f t="shared" si="63"/>
        <v>0</v>
      </c>
      <c r="V169" s="342">
        <f t="shared" si="64"/>
        <v>0</v>
      </c>
      <c r="W169" s="342">
        <f t="shared" si="65"/>
        <v>0</v>
      </c>
      <c r="X169" s="342">
        <f t="shared" si="66"/>
        <v>0</v>
      </c>
      <c r="Y169" s="382">
        <f t="shared" si="67"/>
        <v>0</v>
      </c>
      <c r="Z169" s="343">
        <f t="shared" si="68"/>
        <v>0</v>
      </c>
      <c r="AA169" s="343">
        <f t="shared" si="69"/>
        <v>0</v>
      </c>
      <c r="AB169" s="343">
        <f t="shared" si="70"/>
        <v>0</v>
      </c>
      <c r="AC169" s="383">
        <f t="shared" si="71"/>
        <v>0</v>
      </c>
      <c r="AD169" s="344">
        <f t="shared" si="72"/>
        <v>0</v>
      </c>
      <c r="AE169" s="344">
        <f t="shared" si="73"/>
        <v>0</v>
      </c>
      <c r="AF169" s="344">
        <f t="shared" si="74"/>
        <v>0</v>
      </c>
      <c r="AG169" s="345">
        <f t="shared" si="75"/>
        <v>0</v>
      </c>
      <c r="AH169" s="345">
        <f t="shared" si="76"/>
        <v>0</v>
      </c>
      <c r="AI169" s="345">
        <f t="shared" si="77"/>
        <v>0</v>
      </c>
      <c r="AJ169" s="306">
        <f t="shared" si="86"/>
        <v>0</v>
      </c>
      <c r="AK169" s="306">
        <f t="shared" si="87"/>
        <v>0</v>
      </c>
      <c r="AL169" s="306">
        <f t="shared" si="88"/>
        <v>0</v>
      </c>
      <c r="AM169" s="749"/>
      <c r="AN169" s="763"/>
      <c r="AO169" s="780"/>
      <c r="AP169" s="898">
        <f t="shared" si="81"/>
        <v>0</v>
      </c>
      <c r="AQ169" s="900">
        <f t="shared" si="82"/>
        <v>0</v>
      </c>
      <c r="AR169" s="896">
        <f t="shared" si="83"/>
        <v>0</v>
      </c>
      <c r="AS169" s="780"/>
      <c r="AT169" s="780"/>
      <c r="AU169" s="780"/>
      <c r="AV169" s="780"/>
      <c r="AW169" s="780"/>
      <c r="AX169" s="780"/>
      <c r="AY169" s="780"/>
      <c r="AZ169" s="780"/>
      <c r="BA169" s="780"/>
      <c r="BG169" s="440"/>
    </row>
    <row r="170" spans="1:59" x14ac:dyDescent="0.2">
      <c r="A170" s="346"/>
      <c r="B170" s="347"/>
      <c r="C170" s="358"/>
      <c r="D170" s="349"/>
      <c r="E170" s="349"/>
      <c r="F170" s="350"/>
      <c r="G170" s="1211">
        <f t="shared" si="60"/>
        <v>0</v>
      </c>
      <c r="H170" s="339"/>
      <c r="I170" s="339"/>
      <c r="J170" s="339"/>
      <c r="K170" s="339"/>
      <c r="L170" s="339"/>
      <c r="M170" s="339"/>
      <c r="N170" s="339"/>
      <c r="O170" s="339"/>
      <c r="P170" s="339"/>
      <c r="Q170" s="339"/>
      <c r="R170" s="1236">
        <f t="shared" si="84"/>
        <v>0</v>
      </c>
      <c r="S170" s="1237">
        <f t="shared" si="85"/>
        <v>0</v>
      </c>
      <c r="T170" s="341"/>
      <c r="U170" s="381">
        <f t="shared" si="63"/>
        <v>0</v>
      </c>
      <c r="V170" s="342">
        <f t="shared" si="64"/>
        <v>0</v>
      </c>
      <c r="W170" s="342">
        <f t="shared" si="65"/>
        <v>0</v>
      </c>
      <c r="X170" s="342">
        <f t="shared" si="66"/>
        <v>0</v>
      </c>
      <c r="Y170" s="382">
        <f t="shared" si="67"/>
        <v>0</v>
      </c>
      <c r="Z170" s="343">
        <f t="shared" si="68"/>
        <v>0</v>
      </c>
      <c r="AA170" s="343">
        <f t="shared" si="69"/>
        <v>0</v>
      </c>
      <c r="AB170" s="343">
        <f t="shared" si="70"/>
        <v>0</v>
      </c>
      <c r="AC170" s="383">
        <f t="shared" si="71"/>
        <v>0</v>
      </c>
      <c r="AD170" s="344">
        <f t="shared" si="72"/>
        <v>0</v>
      </c>
      <c r="AE170" s="344">
        <f t="shared" si="73"/>
        <v>0</v>
      </c>
      <c r="AF170" s="344">
        <f t="shared" si="74"/>
        <v>0</v>
      </c>
      <c r="AG170" s="345">
        <f t="shared" si="75"/>
        <v>0</v>
      </c>
      <c r="AH170" s="345">
        <f t="shared" si="76"/>
        <v>0</v>
      </c>
      <c r="AI170" s="345">
        <f t="shared" si="77"/>
        <v>0</v>
      </c>
      <c r="AJ170" s="306">
        <f t="shared" si="86"/>
        <v>0</v>
      </c>
      <c r="AK170" s="306">
        <f t="shared" si="87"/>
        <v>0</v>
      </c>
      <c r="AL170" s="306">
        <f t="shared" si="88"/>
        <v>0</v>
      </c>
      <c r="AM170" s="749"/>
      <c r="AN170" s="763"/>
      <c r="AO170" s="780"/>
      <c r="AP170" s="898">
        <f t="shared" si="81"/>
        <v>0</v>
      </c>
      <c r="AQ170" s="900">
        <f t="shared" si="82"/>
        <v>0</v>
      </c>
      <c r="AR170" s="896">
        <f t="shared" si="83"/>
        <v>0</v>
      </c>
      <c r="AS170" s="780"/>
      <c r="AT170" s="780"/>
      <c r="AU170" s="780"/>
      <c r="AV170" s="780"/>
      <c r="AW170" s="780"/>
      <c r="AX170" s="780"/>
      <c r="AY170" s="780"/>
      <c r="AZ170" s="780"/>
      <c r="BA170" s="780"/>
      <c r="BG170" s="440"/>
    </row>
    <row r="171" spans="1:59" x14ac:dyDescent="0.2">
      <c r="A171" s="346"/>
      <c r="B171" s="347"/>
      <c r="C171" s="358"/>
      <c r="D171" s="349"/>
      <c r="E171" s="349"/>
      <c r="F171" s="350"/>
      <c r="G171" s="1211">
        <f t="shared" si="60"/>
        <v>0</v>
      </c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1236">
        <f t="shared" si="84"/>
        <v>0</v>
      </c>
      <c r="S171" s="1237">
        <f t="shared" si="85"/>
        <v>0</v>
      </c>
      <c r="T171" s="341"/>
      <c r="U171" s="381">
        <f t="shared" si="63"/>
        <v>0</v>
      </c>
      <c r="V171" s="342">
        <f t="shared" si="64"/>
        <v>0</v>
      </c>
      <c r="W171" s="342">
        <f t="shared" si="65"/>
        <v>0</v>
      </c>
      <c r="X171" s="342">
        <f t="shared" si="66"/>
        <v>0</v>
      </c>
      <c r="Y171" s="382">
        <f t="shared" si="67"/>
        <v>0</v>
      </c>
      <c r="Z171" s="343">
        <f t="shared" si="68"/>
        <v>0</v>
      </c>
      <c r="AA171" s="343">
        <f t="shared" si="69"/>
        <v>0</v>
      </c>
      <c r="AB171" s="343">
        <f t="shared" si="70"/>
        <v>0</v>
      </c>
      <c r="AC171" s="383">
        <f t="shared" si="71"/>
        <v>0</v>
      </c>
      <c r="AD171" s="344">
        <f t="shared" si="72"/>
        <v>0</v>
      </c>
      <c r="AE171" s="344">
        <f t="shared" si="73"/>
        <v>0</v>
      </c>
      <c r="AF171" s="344">
        <f t="shared" si="74"/>
        <v>0</v>
      </c>
      <c r="AG171" s="345">
        <f t="shared" si="75"/>
        <v>0</v>
      </c>
      <c r="AH171" s="345">
        <f t="shared" si="76"/>
        <v>0</v>
      </c>
      <c r="AI171" s="345">
        <f t="shared" si="77"/>
        <v>0</v>
      </c>
      <c r="AJ171" s="306">
        <f t="shared" si="86"/>
        <v>0</v>
      </c>
      <c r="AK171" s="306">
        <f t="shared" si="87"/>
        <v>0</v>
      </c>
      <c r="AL171" s="306">
        <f t="shared" si="88"/>
        <v>0</v>
      </c>
      <c r="AM171" s="749"/>
      <c r="AN171" s="763"/>
      <c r="AO171" s="780"/>
      <c r="AP171" s="898">
        <f t="shared" si="81"/>
        <v>0</v>
      </c>
      <c r="AQ171" s="900">
        <f t="shared" si="82"/>
        <v>0</v>
      </c>
      <c r="AR171" s="896">
        <f t="shared" si="83"/>
        <v>0</v>
      </c>
      <c r="AS171" s="780"/>
      <c r="AT171" s="780"/>
      <c r="AU171" s="780"/>
      <c r="AV171" s="780"/>
      <c r="AW171" s="780"/>
      <c r="AX171" s="780"/>
      <c r="AY171" s="780"/>
      <c r="AZ171" s="780"/>
      <c r="BA171" s="780"/>
      <c r="BG171" s="440"/>
    </row>
    <row r="172" spans="1:59" x14ac:dyDescent="0.2">
      <c r="A172" s="346"/>
      <c r="B172" s="347"/>
      <c r="C172" s="358"/>
      <c r="D172" s="349"/>
      <c r="E172" s="349"/>
      <c r="F172" s="350"/>
      <c r="G172" s="1211">
        <f t="shared" si="60"/>
        <v>0</v>
      </c>
      <c r="H172" s="339"/>
      <c r="I172" s="339"/>
      <c r="J172" s="339"/>
      <c r="K172" s="339"/>
      <c r="L172" s="339"/>
      <c r="M172" s="339"/>
      <c r="N172" s="339"/>
      <c r="O172" s="339"/>
      <c r="P172" s="339"/>
      <c r="Q172" s="339"/>
      <c r="R172" s="1236">
        <f t="shared" si="84"/>
        <v>0</v>
      </c>
      <c r="S172" s="1237">
        <f t="shared" si="85"/>
        <v>0</v>
      </c>
      <c r="T172" s="341"/>
      <c r="U172" s="381">
        <f t="shared" si="63"/>
        <v>0</v>
      </c>
      <c r="V172" s="342">
        <f t="shared" si="64"/>
        <v>0</v>
      </c>
      <c r="W172" s="342">
        <f t="shared" si="65"/>
        <v>0</v>
      </c>
      <c r="X172" s="342">
        <f t="shared" si="66"/>
        <v>0</v>
      </c>
      <c r="Y172" s="382">
        <f t="shared" si="67"/>
        <v>0</v>
      </c>
      <c r="Z172" s="343">
        <f t="shared" si="68"/>
        <v>0</v>
      </c>
      <c r="AA172" s="343">
        <f t="shared" si="69"/>
        <v>0</v>
      </c>
      <c r="AB172" s="343">
        <f t="shared" si="70"/>
        <v>0</v>
      </c>
      <c r="AC172" s="383">
        <f t="shared" si="71"/>
        <v>0</v>
      </c>
      <c r="AD172" s="344">
        <f t="shared" si="72"/>
        <v>0</v>
      </c>
      <c r="AE172" s="344">
        <f t="shared" si="73"/>
        <v>0</v>
      </c>
      <c r="AF172" s="344">
        <f t="shared" si="74"/>
        <v>0</v>
      </c>
      <c r="AG172" s="345">
        <f t="shared" si="75"/>
        <v>0</v>
      </c>
      <c r="AH172" s="345">
        <f t="shared" si="76"/>
        <v>0</v>
      </c>
      <c r="AI172" s="345">
        <f t="shared" si="77"/>
        <v>0</v>
      </c>
      <c r="AJ172" s="306">
        <f t="shared" si="86"/>
        <v>0</v>
      </c>
      <c r="AK172" s="306">
        <f t="shared" si="87"/>
        <v>0</v>
      </c>
      <c r="AL172" s="306">
        <f t="shared" si="88"/>
        <v>0</v>
      </c>
      <c r="AM172" s="749"/>
      <c r="AN172" s="763"/>
      <c r="AO172" s="780"/>
      <c r="AP172" s="898">
        <f t="shared" si="81"/>
        <v>0</v>
      </c>
      <c r="AQ172" s="900">
        <f t="shared" si="82"/>
        <v>0</v>
      </c>
      <c r="AR172" s="896">
        <f t="shared" si="83"/>
        <v>0</v>
      </c>
      <c r="AS172" s="780"/>
      <c r="AT172" s="780"/>
      <c r="AU172" s="780"/>
      <c r="AV172" s="780"/>
      <c r="AW172" s="780"/>
      <c r="AX172" s="780"/>
      <c r="AY172" s="780"/>
      <c r="AZ172" s="780"/>
      <c r="BA172" s="780"/>
      <c r="BG172" s="440"/>
    </row>
    <row r="173" spans="1:59" x14ac:dyDescent="0.2">
      <c r="A173" s="346"/>
      <c r="B173" s="347"/>
      <c r="C173" s="358"/>
      <c r="D173" s="349"/>
      <c r="E173" s="349"/>
      <c r="F173" s="350"/>
      <c r="G173" s="1211">
        <f t="shared" si="60"/>
        <v>0</v>
      </c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1236">
        <f t="shared" si="84"/>
        <v>0</v>
      </c>
      <c r="S173" s="1237">
        <f t="shared" si="85"/>
        <v>0</v>
      </c>
      <c r="T173" s="341"/>
      <c r="U173" s="381">
        <f t="shared" si="63"/>
        <v>0</v>
      </c>
      <c r="V173" s="342">
        <f t="shared" si="64"/>
        <v>0</v>
      </c>
      <c r="W173" s="342">
        <f t="shared" si="65"/>
        <v>0</v>
      </c>
      <c r="X173" s="342">
        <f t="shared" si="66"/>
        <v>0</v>
      </c>
      <c r="Y173" s="382">
        <f t="shared" si="67"/>
        <v>0</v>
      </c>
      <c r="Z173" s="343">
        <f t="shared" si="68"/>
        <v>0</v>
      </c>
      <c r="AA173" s="343">
        <f t="shared" si="69"/>
        <v>0</v>
      </c>
      <c r="AB173" s="343">
        <f t="shared" si="70"/>
        <v>0</v>
      </c>
      <c r="AC173" s="383">
        <f t="shared" si="71"/>
        <v>0</v>
      </c>
      <c r="AD173" s="344">
        <f t="shared" si="72"/>
        <v>0</v>
      </c>
      <c r="AE173" s="344">
        <f t="shared" si="73"/>
        <v>0</v>
      </c>
      <c r="AF173" s="344">
        <f t="shared" si="74"/>
        <v>0</v>
      </c>
      <c r="AG173" s="345">
        <f t="shared" si="75"/>
        <v>0</v>
      </c>
      <c r="AH173" s="345">
        <f t="shared" si="76"/>
        <v>0</v>
      </c>
      <c r="AI173" s="345">
        <f t="shared" si="77"/>
        <v>0</v>
      </c>
      <c r="AJ173" s="306">
        <f t="shared" si="86"/>
        <v>0</v>
      </c>
      <c r="AK173" s="306">
        <f t="shared" si="87"/>
        <v>0</v>
      </c>
      <c r="AL173" s="306">
        <f t="shared" si="88"/>
        <v>0</v>
      </c>
      <c r="AM173" s="749"/>
      <c r="AN173" s="763"/>
      <c r="AO173" s="780"/>
      <c r="AP173" s="898">
        <f t="shared" si="81"/>
        <v>0</v>
      </c>
      <c r="AQ173" s="900">
        <f t="shared" si="82"/>
        <v>0</v>
      </c>
      <c r="AR173" s="896">
        <f t="shared" si="83"/>
        <v>0</v>
      </c>
      <c r="AS173" s="780"/>
      <c r="AT173" s="780"/>
      <c r="AU173" s="780"/>
      <c r="AV173" s="780"/>
      <c r="AW173" s="780"/>
      <c r="AX173" s="780"/>
      <c r="AY173" s="780"/>
      <c r="AZ173" s="780"/>
      <c r="BA173" s="780"/>
      <c r="BG173" s="440"/>
    </row>
    <row r="174" spans="1:59" x14ac:dyDescent="0.2">
      <c r="A174" s="346"/>
      <c r="B174" s="347"/>
      <c r="C174" s="358"/>
      <c r="D174" s="349"/>
      <c r="E174" s="349"/>
      <c r="F174" s="350"/>
      <c r="G174" s="1211">
        <f t="shared" si="60"/>
        <v>0</v>
      </c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1236">
        <f t="shared" si="84"/>
        <v>0</v>
      </c>
      <c r="S174" s="1237">
        <f t="shared" si="85"/>
        <v>0</v>
      </c>
      <c r="T174" s="341"/>
      <c r="U174" s="381">
        <f t="shared" si="63"/>
        <v>0</v>
      </c>
      <c r="V174" s="342">
        <f t="shared" si="64"/>
        <v>0</v>
      </c>
      <c r="W174" s="342">
        <f t="shared" si="65"/>
        <v>0</v>
      </c>
      <c r="X174" s="342">
        <f t="shared" si="66"/>
        <v>0</v>
      </c>
      <c r="Y174" s="382">
        <f t="shared" si="67"/>
        <v>0</v>
      </c>
      <c r="Z174" s="343">
        <f t="shared" si="68"/>
        <v>0</v>
      </c>
      <c r="AA174" s="343">
        <f t="shared" si="69"/>
        <v>0</v>
      </c>
      <c r="AB174" s="343">
        <f t="shared" si="70"/>
        <v>0</v>
      </c>
      <c r="AC174" s="383">
        <f t="shared" si="71"/>
        <v>0</v>
      </c>
      <c r="AD174" s="344">
        <f t="shared" si="72"/>
        <v>0</v>
      </c>
      <c r="AE174" s="344">
        <f t="shared" si="73"/>
        <v>0</v>
      </c>
      <c r="AF174" s="344">
        <f t="shared" si="74"/>
        <v>0</v>
      </c>
      <c r="AG174" s="345">
        <f t="shared" si="75"/>
        <v>0</v>
      </c>
      <c r="AH174" s="345">
        <f t="shared" si="76"/>
        <v>0</v>
      </c>
      <c r="AI174" s="345">
        <f t="shared" si="77"/>
        <v>0</v>
      </c>
      <c r="AJ174" s="306">
        <f t="shared" si="86"/>
        <v>0</v>
      </c>
      <c r="AK174" s="306">
        <f t="shared" si="87"/>
        <v>0</v>
      </c>
      <c r="AL174" s="306">
        <f t="shared" si="88"/>
        <v>0</v>
      </c>
      <c r="AM174" s="749"/>
      <c r="AN174" s="763"/>
      <c r="AO174" s="780"/>
      <c r="AP174" s="898">
        <f t="shared" si="81"/>
        <v>0</v>
      </c>
      <c r="AQ174" s="900">
        <f t="shared" si="82"/>
        <v>0</v>
      </c>
      <c r="AR174" s="896">
        <f t="shared" si="83"/>
        <v>0</v>
      </c>
      <c r="AS174" s="780"/>
      <c r="AT174" s="780"/>
      <c r="AU174" s="780"/>
      <c r="AV174" s="780"/>
      <c r="AW174" s="780"/>
      <c r="AX174" s="780"/>
      <c r="AY174" s="780"/>
      <c r="AZ174" s="780"/>
      <c r="BA174" s="780"/>
      <c r="BG174" s="440"/>
    </row>
    <row r="175" spans="1:59" x14ac:dyDescent="0.2">
      <c r="A175" s="346"/>
      <c r="B175" s="347"/>
      <c r="C175" s="358"/>
      <c r="D175" s="349"/>
      <c r="E175" s="349"/>
      <c r="F175" s="350"/>
      <c r="G175" s="1211">
        <f t="shared" si="60"/>
        <v>0</v>
      </c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1236">
        <f t="shared" si="84"/>
        <v>0</v>
      </c>
      <c r="S175" s="1237">
        <f t="shared" si="85"/>
        <v>0</v>
      </c>
      <c r="T175" s="341"/>
      <c r="U175" s="381">
        <f t="shared" si="63"/>
        <v>0</v>
      </c>
      <c r="V175" s="342">
        <f t="shared" si="64"/>
        <v>0</v>
      </c>
      <c r="W175" s="342">
        <f t="shared" si="65"/>
        <v>0</v>
      </c>
      <c r="X175" s="342">
        <f t="shared" si="66"/>
        <v>0</v>
      </c>
      <c r="Y175" s="382">
        <f t="shared" si="67"/>
        <v>0</v>
      </c>
      <c r="Z175" s="343">
        <f t="shared" si="68"/>
        <v>0</v>
      </c>
      <c r="AA175" s="343">
        <f t="shared" si="69"/>
        <v>0</v>
      </c>
      <c r="AB175" s="343">
        <f t="shared" si="70"/>
        <v>0</v>
      </c>
      <c r="AC175" s="383">
        <f t="shared" si="71"/>
        <v>0</v>
      </c>
      <c r="AD175" s="344">
        <f t="shared" si="72"/>
        <v>0</v>
      </c>
      <c r="AE175" s="344">
        <f t="shared" si="73"/>
        <v>0</v>
      </c>
      <c r="AF175" s="344">
        <f t="shared" si="74"/>
        <v>0</v>
      </c>
      <c r="AG175" s="345">
        <f t="shared" si="75"/>
        <v>0</v>
      </c>
      <c r="AH175" s="345">
        <f t="shared" si="76"/>
        <v>0</v>
      </c>
      <c r="AI175" s="345">
        <f t="shared" si="77"/>
        <v>0</v>
      </c>
      <c r="AJ175" s="306">
        <f t="shared" si="86"/>
        <v>0</v>
      </c>
      <c r="AK175" s="306">
        <f t="shared" si="87"/>
        <v>0</v>
      </c>
      <c r="AL175" s="306">
        <f t="shared" si="88"/>
        <v>0</v>
      </c>
      <c r="AM175" s="749"/>
      <c r="AN175" s="763"/>
      <c r="AO175" s="780"/>
      <c r="AP175" s="898">
        <f t="shared" si="81"/>
        <v>0</v>
      </c>
      <c r="AQ175" s="900">
        <f t="shared" si="82"/>
        <v>0</v>
      </c>
      <c r="AR175" s="896">
        <f t="shared" si="83"/>
        <v>0</v>
      </c>
      <c r="AS175" s="780"/>
      <c r="AT175" s="780"/>
      <c r="AU175" s="780"/>
      <c r="AV175" s="780"/>
      <c r="AW175" s="780"/>
      <c r="AX175" s="780"/>
      <c r="AY175" s="780"/>
      <c r="AZ175" s="780"/>
      <c r="BA175" s="780"/>
      <c r="BG175" s="440"/>
    </row>
    <row r="176" spans="1:59" x14ac:dyDescent="0.2">
      <c r="A176" s="346"/>
      <c r="B176" s="347"/>
      <c r="C176" s="358"/>
      <c r="D176" s="349"/>
      <c r="E176" s="349"/>
      <c r="F176" s="350"/>
      <c r="G176" s="1211">
        <f t="shared" si="60"/>
        <v>0</v>
      </c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1236">
        <f t="shared" si="84"/>
        <v>0</v>
      </c>
      <c r="S176" s="1237">
        <f t="shared" si="85"/>
        <v>0</v>
      </c>
      <c r="T176" s="341"/>
      <c r="U176" s="381">
        <f t="shared" si="63"/>
        <v>0</v>
      </c>
      <c r="V176" s="342">
        <f t="shared" si="64"/>
        <v>0</v>
      </c>
      <c r="W176" s="342">
        <f t="shared" si="65"/>
        <v>0</v>
      </c>
      <c r="X176" s="342">
        <f t="shared" si="66"/>
        <v>0</v>
      </c>
      <c r="Y176" s="382">
        <f t="shared" si="67"/>
        <v>0</v>
      </c>
      <c r="Z176" s="343">
        <f t="shared" si="68"/>
        <v>0</v>
      </c>
      <c r="AA176" s="343">
        <f t="shared" si="69"/>
        <v>0</v>
      </c>
      <c r="AB176" s="343">
        <f t="shared" si="70"/>
        <v>0</v>
      </c>
      <c r="AC176" s="383">
        <f t="shared" si="71"/>
        <v>0</v>
      </c>
      <c r="AD176" s="344">
        <f t="shared" si="72"/>
        <v>0</v>
      </c>
      <c r="AE176" s="344">
        <f t="shared" si="73"/>
        <v>0</v>
      </c>
      <c r="AF176" s="344">
        <f t="shared" si="74"/>
        <v>0</v>
      </c>
      <c r="AG176" s="345">
        <f t="shared" si="75"/>
        <v>0</v>
      </c>
      <c r="AH176" s="345">
        <f t="shared" si="76"/>
        <v>0</v>
      </c>
      <c r="AI176" s="345">
        <f t="shared" si="77"/>
        <v>0</v>
      </c>
      <c r="AJ176" s="306">
        <f t="shared" si="86"/>
        <v>0</v>
      </c>
      <c r="AK176" s="306">
        <f t="shared" si="87"/>
        <v>0</v>
      </c>
      <c r="AL176" s="306">
        <f t="shared" si="88"/>
        <v>0</v>
      </c>
      <c r="AM176" s="749"/>
      <c r="AN176" s="763"/>
      <c r="AO176" s="780"/>
      <c r="AP176" s="898">
        <f t="shared" si="81"/>
        <v>0</v>
      </c>
      <c r="AQ176" s="900">
        <f t="shared" si="82"/>
        <v>0</v>
      </c>
      <c r="AR176" s="896">
        <f t="shared" si="83"/>
        <v>0</v>
      </c>
      <c r="AS176" s="780"/>
      <c r="AT176" s="780"/>
      <c r="AU176" s="780"/>
      <c r="AV176" s="780"/>
      <c r="AW176" s="780"/>
      <c r="AX176" s="780"/>
      <c r="AY176" s="780"/>
      <c r="AZ176" s="780"/>
      <c r="BA176" s="780"/>
      <c r="BG176" s="440"/>
    </row>
    <row r="177" spans="1:59" x14ac:dyDescent="0.2">
      <c r="A177" s="346"/>
      <c r="B177" s="347"/>
      <c r="C177" s="358"/>
      <c r="D177" s="349"/>
      <c r="E177" s="349"/>
      <c r="F177" s="350"/>
      <c r="G177" s="1211">
        <f t="shared" si="60"/>
        <v>0</v>
      </c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1236">
        <f t="shared" si="84"/>
        <v>0</v>
      </c>
      <c r="S177" s="1237">
        <f t="shared" si="85"/>
        <v>0</v>
      </c>
      <c r="T177" s="341"/>
      <c r="U177" s="381">
        <f t="shared" si="63"/>
        <v>0</v>
      </c>
      <c r="V177" s="342">
        <f t="shared" si="64"/>
        <v>0</v>
      </c>
      <c r="W177" s="342">
        <f t="shared" si="65"/>
        <v>0</v>
      </c>
      <c r="X177" s="342">
        <f t="shared" si="66"/>
        <v>0</v>
      </c>
      <c r="Y177" s="382">
        <f t="shared" si="67"/>
        <v>0</v>
      </c>
      <c r="Z177" s="343">
        <f t="shared" si="68"/>
        <v>0</v>
      </c>
      <c r="AA177" s="343">
        <f t="shared" si="69"/>
        <v>0</v>
      </c>
      <c r="AB177" s="343">
        <f t="shared" si="70"/>
        <v>0</v>
      </c>
      <c r="AC177" s="383">
        <f t="shared" si="71"/>
        <v>0</v>
      </c>
      <c r="AD177" s="344">
        <f t="shared" si="72"/>
        <v>0</v>
      </c>
      <c r="AE177" s="344">
        <f t="shared" si="73"/>
        <v>0</v>
      </c>
      <c r="AF177" s="344">
        <f t="shared" si="74"/>
        <v>0</v>
      </c>
      <c r="AG177" s="345">
        <f t="shared" si="75"/>
        <v>0</v>
      </c>
      <c r="AH177" s="345">
        <f t="shared" si="76"/>
        <v>0</v>
      </c>
      <c r="AI177" s="345">
        <f t="shared" si="77"/>
        <v>0</v>
      </c>
      <c r="AJ177" s="306">
        <f t="shared" si="86"/>
        <v>0</v>
      </c>
      <c r="AK177" s="306">
        <f t="shared" si="87"/>
        <v>0</v>
      </c>
      <c r="AL177" s="306">
        <f t="shared" si="88"/>
        <v>0</v>
      </c>
      <c r="AM177" s="749"/>
      <c r="AN177" s="763"/>
      <c r="AO177" s="780"/>
      <c r="AP177" s="898">
        <f t="shared" si="81"/>
        <v>0</v>
      </c>
      <c r="AQ177" s="900">
        <f t="shared" si="82"/>
        <v>0</v>
      </c>
      <c r="AR177" s="896">
        <f t="shared" si="83"/>
        <v>0</v>
      </c>
      <c r="AS177" s="780"/>
      <c r="AT177" s="780"/>
      <c r="AU177" s="780"/>
      <c r="AV177" s="780"/>
      <c r="AW177" s="780"/>
      <c r="AX177" s="780"/>
      <c r="AY177" s="780"/>
      <c r="AZ177" s="780"/>
      <c r="BA177" s="780"/>
      <c r="BG177" s="440"/>
    </row>
    <row r="178" spans="1:59" x14ac:dyDescent="0.2">
      <c r="A178" s="346"/>
      <c r="B178" s="347"/>
      <c r="C178" s="358"/>
      <c r="D178" s="349"/>
      <c r="E178" s="349"/>
      <c r="F178" s="350"/>
      <c r="G178" s="1211">
        <f t="shared" si="60"/>
        <v>0</v>
      </c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1236">
        <f t="shared" si="84"/>
        <v>0</v>
      </c>
      <c r="S178" s="1237">
        <f t="shared" si="85"/>
        <v>0</v>
      </c>
      <c r="T178" s="341"/>
      <c r="U178" s="381">
        <f t="shared" si="63"/>
        <v>0</v>
      </c>
      <c r="V178" s="342">
        <f t="shared" si="64"/>
        <v>0</v>
      </c>
      <c r="W178" s="342">
        <f t="shared" si="65"/>
        <v>0</v>
      </c>
      <c r="X178" s="342">
        <f t="shared" si="66"/>
        <v>0</v>
      </c>
      <c r="Y178" s="382">
        <f t="shared" si="67"/>
        <v>0</v>
      </c>
      <c r="Z178" s="343">
        <f t="shared" si="68"/>
        <v>0</v>
      </c>
      <c r="AA178" s="343">
        <f t="shared" si="69"/>
        <v>0</v>
      </c>
      <c r="AB178" s="343">
        <f t="shared" si="70"/>
        <v>0</v>
      </c>
      <c r="AC178" s="383">
        <f t="shared" si="71"/>
        <v>0</v>
      </c>
      <c r="AD178" s="344">
        <f t="shared" si="72"/>
        <v>0</v>
      </c>
      <c r="AE178" s="344">
        <f t="shared" si="73"/>
        <v>0</v>
      </c>
      <c r="AF178" s="344">
        <f t="shared" si="74"/>
        <v>0</v>
      </c>
      <c r="AG178" s="345">
        <f t="shared" si="75"/>
        <v>0</v>
      </c>
      <c r="AH178" s="345">
        <f t="shared" si="76"/>
        <v>0</v>
      </c>
      <c r="AI178" s="345">
        <f t="shared" si="77"/>
        <v>0</v>
      </c>
      <c r="AJ178" s="306">
        <f t="shared" si="86"/>
        <v>0</v>
      </c>
      <c r="AK178" s="306">
        <f t="shared" si="87"/>
        <v>0</v>
      </c>
      <c r="AL178" s="306">
        <f t="shared" si="88"/>
        <v>0</v>
      </c>
      <c r="AM178" s="749"/>
      <c r="AN178" s="763"/>
      <c r="AO178" s="780"/>
      <c r="AP178" s="898">
        <f t="shared" si="81"/>
        <v>0</v>
      </c>
      <c r="AQ178" s="900">
        <f t="shared" si="82"/>
        <v>0</v>
      </c>
      <c r="AR178" s="896">
        <f t="shared" si="83"/>
        <v>0</v>
      </c>
      <c r="AS178" s="780"/>
      <c r="AT178" s="780"/>
      <c r="AU178" s="780"/>
      <c r="AV178" s="780"/>
      <c r="AW178" s="780"/>
      <c r="AX178" s="780"/>
      <c r="AY178" s="780"/>
      <c r="AZ178" s="780"/>
      <c r="BA178" s="780"/>
      <c r="BG178" s="440"/>
    </row>
    <row r="179" spans="1:59" x14ac:dyDescent="0.2">
      <c r="A179" s="346"/>
      <c r="B179" s="347"/>
      <c r="C179" s="358"/>
      <c r="D179" s="349"/>
      <c r="E179" s="349"/>
      <c r="F179" s="350"/>
      <c r="G179" s="1211">
        <f t="shared" si="60"/>
        <v>0</v>
      </c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1236">
        <f t="shared" si="84"/>
        <v>0</v>
      </c>
      <c r="S179" s="1237">
        <f t="shared" si="85"/>
        <v>0</v>
      </c>
      <c r="T179" s="341"/>
      <c r="U179" s="381">
        <f t="shared" si="63"/>
        <v>0</v>
      </c>
      <c r="V179" s="342">
        <f t="shared" si="64"/>
        <v>0</v>
      </c>
      <c r="W179" s="342">
        <f t="shared" si="65"/>
        <v>0</v>
      </c>
      <c r="X179" s="342">
        <f t="shared" si="66"/>
        <v>0</v>
      </c>
      <c r="Y179" s="382">
        <f t="shared" si="67"/>
        <v>0</v>
      </c>
      <c r="Z179" s="343">
        <f t="shared" si="68"/>
        <v>0</v>
      </c>
      <c r="AA179" s="343">
        <f t="shared" si="69"/>
        <v>0</v>
      </c>
      <c r="AB179" s="343">
        <f t="shared" si="70"/>
        <v>0</v>
      </c>
      <c r="AC179" s="383">
        <f t="shared" si="71"/>
        <v>0</v>
      </c>
      <c r="AD179" s="344">
        <f t="shared" si="72"/>
        <v>0</v>
      </c>
      <c r="AE179" s="344">
        <f t="shared" si="73"/>
        <v>0</v>
      </c>
      <c r="AF179" s="344">
        <f t="shared" si="74"/>
        <v>0</v>
      </c>
      <c r="AG179" s="345">
        <f t="shared" si="75"/>
        <v>0</v>
      </c>
      <c r="AH179" s="345">
        <f t="shared" si="76"/>
        <v>0</v>
      </c>
      <c r="AI179" s="345">
        <f t="shared" si="77"/>
        <v>0</v>
      </c>
      <c r="AJ179" s="306">
        <f t="shared" si="86"/>
        <v>0</v>
      </c>
      <c r="AK179" s="306">
        <f t="shared" si="87"/>
        <v>0</v>
      </c>
      <c r="AL179" s="306">
        <f t="shared" si="88"/>
        <v>0</v>
      </c>
      <c r="AM179" s="749"/>
      <c r="AN179" s="763"/>
      <c r="AO179" s="780"/>
      <c r="AP179" s="898">
        <f t="shared" si="81"/>
        <v>0</v>
      </c>
      <c r="AQ179" s="900">
        <f t="shared" si="82"/>
        <v>0</v>
      </c>
      <c r="AR179" s="896">
        <f t="shared" si="83"/>
        <v>0</v>
      </c>
      <c r="AS179" s="780"/>
      <c r="AT179" s="780"/>
      <c r="AU179" s="780"/>
      <c r="AV179" s="780"/>
      <c r="AW179" s="780"/>
      <c r="AX179" s="780"/>
      <c r="AY179" s="780"/>
      <c r="AZ179" s="780"/>
      <c r="BA179" s="780"/>
      <c r="BG179" s="440"/>
    </row>
    <row r="180" spans="1:59" x14ac:dyDescent="0.2">
      <c r="A180" s="346"/>
      <c r="B180" s="347"/>
      <c r="C180" s="358"/>
      <c r="D180" s="349"/>
      <c r="E180" s="349"/>
      <c r="F180" s="350"/>
      <c r="G180" s="1211">
        <f t="shared" si="60"/>
        <v>0</v>
      </c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1236">
        <f t="shared" si="84"/>
        <v>0</v>
      </c>
      <c r="S180" s="1237">
        <f t="shared" si="85"/>
        <v>0</v>
      </c>
      <c r="T180" s="341"/>
      <c r="U180" s="381">
        <f t="shared" si="63"/>
        <v>0</v>
      </c>
      <c r="V180" s="342">
        <f t="shared" si="64"/>
        <v>0</v>
      </c>
      <c r="W180" s="342">
        <f t="shared" si="65"/>
        <v>0</v>
      </c>
      <c r="X180" s="342">
        <f t="shared" si="66"/>
        <v>0</v>
      </c>
      <c r="Y180" s="382">
        <f t="shared" si="67"/>
        <v>0</v>
      </c>
      <c r="Z180" s="343">
        <f t="shared" si="68"/>
        <v>0</v>
      </c>
      <c r="AA180" s="343">
        <f t="shared" si="69"/>
        <v>0</v>
      </c>
      <c r="AB180" s="343">
        <f t="shared" si="70"/>
        <v>0</v>
      </c>
      <c r="AC180" s="383">
        <f t="shared" si="71"/>
        <v>0</v>
      </c>
      <c r="AD180" s="344">
        <f t="shared" si="72"/>
        <v>0</v>
      </c>
      <c r="AE180" s="344">
        <f t="shared" si="73"/>
        <v>0</v>
      </c>
      <c r="AF180" s="344">
        <f t="shared" si="74"/>
        <v>0</v>
      </c>
      <c r="AG180" s="345">
        <f t="shared" si="75"/>
        <v>0</v>
      </c>
      <c r="AH180" s="345">
        <f t="shared" si="76"/>
        <v>0</v>
      </c>
      <c r="AI180" s="345">
        <f t="shared" si="77"/>
        <v>0</v>
      </c>
      <c r="AJ180" s="306">
        <f t="shared" si="86"/>
        <v>0</v>
      </c>
      <c r="AK180" s="306">
        <f t="shared" si="87"/>
        <v>0</v>
      </c>
      <c r="AL180" s="306">
        <f t="shared" si="88"/>
        <v>0</v>
      </c>
      <c r="AM180" s="749"/>
      <c r="AN180" s="763"/>
      <c r="AO180" s="780"/>
      <c r="AP180" s="898">
        <f t="shared" si="81"/>
        <v>0</v>
      </c>
      <c r="AQ180" s="900">
        <f t="shared" si="82"/>
        <v>0</v>
      </c>
      <c r="AR180" s="896">
        <f t="shared" si="83"/>
        <v>0</v>
      </c>
      <c r="AS180" s="780"/>
      <c r="AT180" s="780"/>
      <c r="AU180" s="780"/>
      <c r="AV180" s="780"/>
      <c r="AW180" s="780"/>
      <c r="AX180" s="780"/>
      <c r="AY180" s="780"/>
      <c r="AZ180" s="780"/>
      <c r="BA180" s="780"/>
      <c r="BG180" s="440"/>
    </row>
    <row r="181" spans="1:59" x14ac:dyDescent="0.2">
      <c r="A181" s="346"/>
      <c r="B181" s="347"/>
      <c r="C181" s="358"/>
      <c r="D181" s="349"/>
      <c r="E181" s="349"/>
      <c r="F181" s="350"/>
      <c r="G181" s="1211">
        <f t="shared" si="60"/>
        <v>0</v>
      </c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1236">
        <f t="shared" si="84"/>
        <v>0</v>
      </c>
      <c r="S181" s="1237">
        <f t="shared" si="85"/>
        <v>0</v>
      </c>
      <c r="T181" s="341"/>
      <c r="U181" s="381">
        <f t="shared" si="63"/>
        <v>0</v>
      </c>
      <c r="V181" s="342">
        <f t="shared" si="64"/>
        <v>0</v>
      </c>
      <c r="W181" s="342">
        <f t="shared" si="65"/>
        <v>0</v>
      </c>
      <c r="X181" s="342">
        <f t="shared" si="66"/>
        <v>0</v>
      </c>
      <c r="Y181" s="382">
        <f t="shared" si="67"/>
        <v>0</v>
      </c>
      <c r="Z181" s="343">
        <f t="shared" si="68"/>
        <v>0</v>
      </c>
      <c r="AA181" s="343">
        <f t="shared" si="69"/>
        <v>0</v>
      </c>
      <c r="AB181" s="343">
        <f t="shared" si="70"/>
        <v>0</v>
      </c>
      <c r="AC181" s="383">
        <f t="shared" si="71"/>
        <v>0</v>
      </c>
      <c r="AD181" s="344">
        <f t="shared" si="72"/>
        <v>0</v>
      </c>
      <c r="AE181" s="344">
        <f t="shared" si="73"/>
        <v>0</v>
      </c>
      <c r="AF181" s="344">
        <f t="shared" si="74"/>
        <v>0</v>
      </c>
      <c r="AG181" s="345">
        <f t="shared" si="75"/>
        <v>0</v>
      </c>
      <c r="AH181" s="345">
        <f t="shared" si="76"/>
        <v>0</v>
      </c>
      <c r="AI181" s="345">
        <f t="shared" si="77"/>
        <v>0</v>
      </c>
      <c r="AJ181" s="306">
        <f t="shared" si="86"/>
        <v>0</v>
      </c>
      <c r="AK181" s="306">
        <f t="shared" si="87"/>
        <v>0</v>
      </c>
      <c r="AL181" s="306">
        <f t="shared" si="88"/>
        <v>0</v>
      </c>
      <c r="AM181" s="749"/>
      <c r="AN181" s="763"/>
      <c r="AO181" s="780"/>
      <c r="AP181" s="898">
        <f t="shared" si="81"/>
        <v>0</v>
      </c>
      <c r="AQ181" s="900">
        <f t="shared" si="82"/>
        <v>0</v>
      </c>
      <c r="AR181" s="896">
        <f t="shared" si="83"/>
        <v>0</v>
      </c>
      <c r="AS181" s="780"/>
      <c r="AT181" s="780"/>
      <c r="AU181" s="780"/>
      <c r="AV181" s="780"/>
      <c r="AW181" s="780"/>
      <c r="AX181" s="780"/>
      <c r="AY181" s="780"/>
      <c r="AZ181" s="780"/>
      <c r="BA181" s="780"/>
      <c r="BG181" s="440"/>
    </row>
    <row r="182" spans="1:59" x14ac:dyDescent="0.2">
      <c r="A182" s="346"/>
      <c r="B182" s="347"/>
      <c r="C182" s="358"/>
      <c r="D182" s="349"/>
      <c r="E182" s="349"/>
      <c r="F182" s="350"/>
      <c r="G182" s="1211">
        <f t="shared" si="60"/>
        <v>0</v>
      </c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1236">
        <f t="shared" si="84"/>
        <v>0</v>
      </c>
      <c r="S182" s="1237">
        <f t="shared" si="85"/>
        <v>0</v>
      </c>
      <c r="T182" s="341"/>
      <c r="U182" s="381">
        <f t="shared" si="63"/>
        <v>0</v>
      </c>
      <c r="V182" s="342">
        <f t="shared" si="64"/>
        <v>0</v>
      </c>
      <c r="W182" s="342">
        <f t="shared" si="65"/>
        <v>0</v>
      </c>
      <c r="X182" s="342">
        <f t="shared" si="66"/>
        <v>0</v>
      </c>
      <c r="Y182" s="382">
        <f t="shared" si="67"/>
        <v>0</v>
      </c>
      <c r="Z182" s="343">
        <f t="shared" si="68"/>
        <v>0</v>
      </c>
      <c r="AA182" s="343">
        <f t="shared" si="69"/>
        <v>0</v>
      </c>
      <c r="AB182" s="343">
        <f t="shared" si="70"/>
        <v>0</v>
      </c>
      <c r="AC182" s="383">
        <f t="shared" si="71"/>
        <v>0</v>
      </c>
      <c r="AD182" s="344">
        <f t="shared" si="72"/>
        <v>0</v>
      </c>
      <c r="AE182" s="344">
        <f t="shared" si="73"/>
        <v>0</v>
      </c>
      <c r="AF182" s="344">
        <f t="shared" si="74"/>
        <v>0</v>
      </c>
      <c r="AG182" s="345">
        <f t="shared" si="75"/>
        <v>0</v>
      </c>
      <c r="AH182" s="345">
        <f t="shared" si="76"/>
        <v>0</v>
      </c>
      <c r="AI182" s="345">
        <f t="shared" si="77"/>
        <v>0</v>
      </c>
      <c r="AJ182" s="306">
        <f t="shared" si="86"/>
        <v>0</v>
      </c>
      <c r="AK182" s="306">
        <f t="shared" si="87"/>
        <v>0</v>
      </c>
      <c r="AL182" s="306">
        <f t="shared" si="88"/>
        <v>0</v>
      </c>
      <c r="AM182" s="749"/>
      <c r="AN182" s="763"/>
      <c r="AO182" s="780"/>
      <c r="AP182" s="898">
        <f t="shared" si="81"/>
        <v>0</v>
      </c>
      <c r="AQ182" s="900">
        <f t="shared" si="82"/>
        <v>0</v>
      </c>
      <c r="AR182" s="896">
        <f t="shared" si="83"/>
        <v>0</v>
      </c>
      <c r="AS182" s="780"/>
      <c r="AT182" s="780"/>
      <c r="AU182" s="780"/>
      <c r="AV182" s="780"/>
      <c r="AW182" s="780"/>
      <c r="AX182" s="780"/>
      <c r="AY182" s="780"/>
      <c r="AZ182" s="780"/>
      <c r="BA182" s="780"/>
      <c r="BG182" s="440"/>
    </row>
    <row r="183" spans="1:59" x14ac:dyDescent="0.2">
      <c r="A183" s="346"/>
      <c r="B183" s="347"/>
      <c r="C183" s="358"/>
      <c r="D183" s="349"/>
      <c r="E183" s="349"/>
      <c r="F183" s="350"/>
      <c r="G183" s="1211">
        <f t="shared" si="60"/>
        <v>0</v>
      </c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1236">
        <f t="shared" si="84"/>
        <v>0</v>
      </c>
      <c r="S183" s="1237">
        <f t="shared" si="85"/>
        <v>0</v>
      </c>
      <c r="T183" s="341"/>
      <c r="U183" s="381">
        <f t="shared" si="63"/>
        <v>0</v>
      </c>
      <c r="V183" s="342">
        <f t="shared" si="64"/>
        <v>0</v>
      </c>
      <c r="W183" s="342">
        <f t="shared" si="65"/>
        <v>0</v>
      </c>
      <c r="X183" s="342">
        <f t="shared" si="66"/>
        <v>0</v>
      </c>
      <c r="Y183" s="382">
        <f t="shared" si="67"/>
        <v>0</v>
      </c>
      <c r="Z183" s="343">
        <f t="shared" si="68"/>
        <v>0</v>
      </c>
      <c r="AA183" s="343">
        <f t="shared" si="69"/>
        <v>0</v>
      </c>
      <c r="AB183" s="343">
        <f t="shared" si="70"/>
        <v>0</v>
      </c>
      <c r="AC183" s="383">
        <f t="shared" si="71"/>
        <v>0</v>
      </c>
      <c r="AD183" s="344">
        <f t="shared" si="72"/>
        <v>0</v>
      </c>
      <c r="AE183" s="344">
        <f t="shared" si="73"/>
        <v>0</v>
      </c>
      <c r="AF183" s="344">
        <f t="shared" si="74"/>
        <v>0</v>
      </c>
      <c r="AG183" s="345">
        <f t="shared" si="75"/>
        <v>0</v>
      </c>
      <c r="AH183" s="345">
        <f t="shared" si="76"/>
        <v>0</v>
      </c>
      <c r="AI183" s="345">
        <f t="shared" si="77"/>
        <v>0</v>
      </c>
      <c r="AJ183" s="306">
        <f t="shared" si="86"/>
        <v>0</v>
      </c>
      <c r="AK183" s="306">
        <f t="shared" si="87"/>
        <v>0</v>
      </c>
      <c r="AL183" s="306">
        <f t="shared" si="88"/>
        <v>0</v>
      </c>
      <c r="AM183" s="749"/>
      <c r="AN183" s="763"/>
      <c r="AO183" s="780"/>
      <c r="AP183" s="898">
        <f t="shared" si="81"/>
        <v>0</v>
      </c>
      <c r="AQ183" s="900">
        <f t="shared" si="82"/>
        <v>0</v>
      </c>
      <c r="AR183" s="896">
        <f t="shared" si="83"/>
        <v>0</v>
      </c>
      <c r="AS183" s="780"/>
      <c r="AT183" s="780"/>
      <c r="AU183" s="780"/>
      <c r="AV183" s="780"/>
      <c r="AW183" s="780"/>
      <c r="AX183" s="780"/>
      <c r="AY183" s="780"/>
      <c r="AZ183" s="780"/>
      <c r="BA183" s="780"/>
      <c r="BG183" s="440"/>
    </row>
    <row r="184" spans="1:59" x14ac:dyDescent="0.2">
      <c r="A184" s="346"/>
      <c r="B184" s="347"/>
      <c r="C184" s="358"/>
      <c r="D184" s="349"/>
      <c r="E184" s="349"/>
      <c r="F184" s="350"/>
      <c r="G184" s="1211">
        <f t="shared" si="60"/>
        <v>0</v>
      </c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1236">
        <f t="shared" si="84"/>
        <v>0</v>
      </c>
      <c r="S184" s="1237">
        <f t="shared" si="85"/>
        <v>0</v>
      </c>
      <c r="T184" s="341"/>
      <c r="U184" s="381">
        <f t="shared" si="63"/>
        <v>0</v>
      </c>
      <c r="V184" s="342">
        <f t="shared" si="64"/>
        <v>0</v>
      </c>
      <c r="W184" s="342">
        <f t="shared" si="65"/>
        <v>0</v>
      </c>
      <c r="X184" s="342">
        <f t="shared" si="66"/>
        <v>0</v>
      </c>
      <c r="Y184" s="382">
        <f t="shared" si="67"/>
        <v>0</v>
      </c>
      <c r="Z184" s="343">
        <f t="shared" si="68"/>
        <v>0</v>
      </c>
      <c r="AA184" s="343">
        <f t="shared" si="69"/>
        <v>0</v>
      </c>
      <c r="AB184" s="343">
        <f t="shared" si="70"/>
        <v>0</v>
      </c>
      <c r="AC184" s="383">
        <f t="shared" si="71"/>
        <v>0</v>
      </c>
      <c r="AD184" s="344">
        <f t="shared" si="72"/>
        <v>0</v>
      </c>
      <c r="AE184" s="344">
        <f t="shared" si="73"/>
        <v>0</v>
      </c>
      <c r="AF184" s="344">
        <f t="shared" si="74"/>
        <v>0</v>
      </c>
      <c r="AG184" s="345">
        <f t="shared" si="75"/>
        <v>0</v>
      </c>
      <c r="AH184" s="345">
        <f t="shared" si="76"/>
        <v>0</v>
      </c>
      <c r="AI184" s="345">
        <f t="shared" si="77"/>
        <v>0</v>
      </c>
      <c r="AJ184" s="306">
        <f t="shared" si="86"/>
        <v>0</v>
      </c>
      <c r="AK184" s="306">
        <f t="shared" si="87"/>
        <v>0</v>
      </c>
      <c r="AL184" s="306">
        <f t="shared" si="88"/>
        <v>0</v>
      </c>
      <c r="AM184" s="749"/>
      <c r="AN184" s="763"/>
      <c r="AO184" s="780"/>
      <c r="AP184" s="898">
        <f t="shared" si="81"/>
        <v>0</v>
      </c>
      <c r="AQ184" s="900">
        <f t="shared" si="82"/>
        <v>0</v>
      </c>
      <c r="AR184" s="896">
        <f t="shared" si="83"/>
        <v>0</v>
      </c>
      <c r="AS184" s="780"/>
      <c r="AT184" s="780"/>
      <c r="AU184" s="780"/>
      <c r="AV184" s="780"/>
      <c r="AW184" s="780"/>
      <c r="AX184" s="780"/>
      <c r="AY184" s="780"/>
      <c r="AZ184" s="780"/>
      <c r="BA184" s="780"/>
      <c r="BG184" s="440"/>
    </row>
    <row r="185" spans="1:59" x14ac:dyDescent="0.2">
      <c r="A185" s="346"/>
      <c r="B185" s="347"/>
      <c r="C185" s="358"/>
      <c r="D185" s="349"/>
      <c r="E185" s="349"/>
      <c r="F185" s="350"/>
      <c r="G185" s="1211">
        <f t="shared" si="60"/>
        <v>0</v>
      </c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1236">
        <f t="shared" si="84"/>
        <v>0</v>
      </c>
      <c r="S185" s="1237">
        <f t="shared" si="85"/>
        <v>0</v>
      </c>
      <c r="T185" s="341"/>
      <c r="U185" s="381">
        <f t="shared" si="63"/>
        <v>0</v>
      </c>
      <c r="V185" s="342">
        <f t="shared" si="64"/>
        <v>0</v>
      </c>
      <c r="W185" s="342">
        <f t="shared" si="65"/>
        <v>0</v>
      </c>
      <c r="X185" s="342">
        <f t="shared" si="66"/>
        <v>0</v>
      </c>
      <c r="Y185" s="382">
        <f t="shared" si="67"/>
        <v>0</v>
      </c>
      <c r="Z185" s="343">
        <f t="shared" si="68"/>
        <v>0</v>
      </c>
      <c r="AA185" s="343">
        <f t="shared" si="69"/>
        <v>0</v>
      </c>
      <c r="AB185" s="343">
        <f t="shared" si="70"/>
        <v>0</v>
      </c>
      <c r="AC185" s="383">
        <f t="shared" si="71"/>
        <v>0</v>
      </c>
      <c r="AD185" s="344">
        <f t="shared" si="72"/>
        <v>0</v>
      </c>
      <c r="AE185" s="344">
        <f t="shared" si="73"/>
        <v>0</v>
      </c>
      <c r="AF185" s="344">
        <f t="shared" si="74"/>
        <v>0</v>
      </c>
      <c r="AG185" s="345">
        <f t="shared" si="75"/>
        <v>0</v>
      </c>
      <c r="AH185" s="345">
        <f t="shared" si="76"/>
        <v>0</v>
      </c>
      <c r="AI185" s="345">
        <f t="shared" si="77"/>
        <v>0</v>
      </c>
      <c r="AJ185" s="306">
        <f t="shared" si="86"/>
        <v>0</v>
      </c>
      <c r="AK185" s="306">
        <f t="shared" si="87"/>
        <v>0</v>
      </c>
      <c r="AL185" s="306">
        <f t="shared" si="88"/>
        <v>0</v>
      </c>
      <c r="AM185" s="749"/>
      <c r="AN185" s="763"/>
      <c r="AO185" s="780"/>
      <c r="AP185" s="898">
        <f t="shared" si="81"/>
        <v>0</v>
      </c>
      <c r="AQ185" s="900">
        <f t="shared" si="82"/>
        <v>0</v>
      </c>
      <c r="AR185" s="896">
        <f t="shared" si="83"/>
        <v>0</v>
      </c>
      <c r="AS185" s="780"/>
      <c r="AT185" s="780"/>
      <c r="AU185" s="780"/>
      <c r="AV185" s="780"/>
      <c r="AW185" s="780"/>
      <c r="AX185" s="780"/>
      <c r="AY185" s="780"/>
      <c r="AZ185" s="780"/>
      <c r="BA185" s="780"/>
      <c r="BG185" s="440"/>
    </row>
    <row r="186" spans="1:59" x14ac:dyDescent="0.2">
      <c r="A186" s="346"/>
      <c r="B186" s="347"/>
      <c r="C186" s="358"/>
      <c r="D186" s="349"/>
      <c r="E186" s="349"/>
      <c r="F186" s="350"/>
      <c r="G186" s="1211">
        <f t="shared" si="60"/>
        <v>0</v>
      </c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1236">
        <f t="shared" si="84"/>
        <v>0</v>
      </c>
      <c r="S186" s="1237">
        <f t="shared" si="85"/>
        <v>0</v>
      </c>
      <c r="T186" s="341"/>
      <c r="U186" s="381">
        <f t="shared" si="63"/>
        <v>0</v>
      </c>
      <c r="V186" s="342">
        <f t="shared" si="64"/>
        <v>0</v>
      </c>
      <c r="W186" s="342">
        <f t="shared" si="65"/>
        <v>0</v>
      </c>
      <c r="X186" s="342">
        <f t="shared" si="66"/>
        <v>0</v>
      </c>
      <c r="Y186" s="382">
        <f t="shared" si="67"/>
        <v>0</v>
      </c>
      <c r="Z186" s="343">
        <f t="shared" si="68"/>
        <v>0</v>
      </c>
      <c r="AA186" s="343">
        <f t="shared" si="69"/>
        <v>0</v>
      </c>
      <c r="AB186" s="343">
        <f t="shared" si="70"/>
        <v>0</v>
      </c>
      <c r="AC186" s="383">
        <f t="shared" si="71"/>
        <v>0</v>
      </c>
      <c r="AD186" s="344">
        <f t="shared" si="72"/>
        <v>0</v>
      </c>
      <c r="AE186" s="344">
        <f t="shared" si="73"/>
        <v>0</v>
      </c>
      <c r="AF186" s="344">
        <f t="shared" si="74"/>
        <v>0</v>
      </c>
      <c r="AG186" s="345">
        <f t="shared" si="75"/>
        <v>0</v>
      </c>
      <c r="AH186" s="345">
        <f t="shared" si="76"/>
        <v>0</v>
      </c>
      <c r="AI186" s="345">
        <f t="shared" si="77"/>
        <v>0</v>
      </c>
      <c r="AJ186" s="306">
        <f t="shared" si="86"/>
        <v>0</v>
      </c>
      <c r="AK186" s="306">
        <f t="shared" si="87"/>
        <v>0</v>
      </c>
      <c r="AL186" s="306">
        <f t="shared" si="88"/>
        <v>0</v>
      </c>
      <c r="AM186" s="749"/>
      <c r="AN186" s="763"/>
      <c r="AO186" s="780"/>
      <c r="AP186" s="898">
        <f t="shared" si="81"/>
        <v>0</v>
      </c>
      <c r="AQ186" s="900">
        <f t="shared" si="82"/>
        <v>0</v>
      </c>
      <c r="AR186" s="896">
        <f t="shared" si="83"/>
        <v>0</v>
      </c>
      <c r="AS186" s="780"/>
      <c r="AT186" s="780"/>
      <c r="AU186" s="780"/>
      <c r="AV186" s="780"/>
      <c r="AW186" s="780"/>
      <c r="AX186" s="780"/>
      <c r="AY186" s="780"/>
      <c r="AZ186" s="780"/>
      <c r="BA186" s="780"/>
      <c r="BG186" s="440"/>
    </row>
    <row r="187" spans="1:59" x14ac:dyDescent="0.2">
      <c r="A187" s="346"/>
      <c r="B187" s="347"/>
      <c r="C187" s="358"/>
      <c r="D187" s="349"/>
      <c r="E187" s="349"/>
      <c r="F187" s="350"/>
      <c r="G187" s="1211">
        <f t="shared" si="60"/>
        <v>0</v>
      </c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1236">
        <f t="shared" si="84"/>
        <v>0</v>
      </c>
      <c r="S187" s="1237">
        <f t="shared" si="85"/>
        <v>0</v>
      </c>
      <c r="T187" s="341"/>
      <c r="U187" s="381">
        <f t="shared" si="63"/>
        <v>0</v>
      </c>
      <c r="V187" s="342">
        <f t="shared" si="64"/>
        <v>0</v>
      </c>
      <c r="W187" s="342">
        <f t="shared" si="65"/>
        <v>0</v>
      </c>
      <c r="X187" s="342">
        <f t="shared" si="66"/>
        <v>0</v>
      </c>
      <c r="Y187" s="382">
        <f t="shared" si="67"/>
        <v>0</v>
      </c>
      <c r="Z187" s="343">
        <f t="shared" si="68"/>
        <v>0</v>
      </c>
      <c r="AA187" s="343">
        <f t="shared" si="69"/>
        <v>0</v>
      </c>
      <c r="AB187" s="343">
        <f t="shared" si="70"/>
        <v>0</v>
      </c>
      <c r="AC187" s="383">
        <f t="shared" si="71"/>
        <v>0</v>
      </c>
      <c r="AD187" s="344">
        <f t="shared" si="72"/>
        <v>0</v>
      </c>
      <c r="AE187" s="344">
        <f t="shared" si="73"/>
        <v>0</v>
      </c>
      <c r="AF187" s="344">
        <f t="shared" si="74"/>
        <v>0</v>
      </c>
      <c r="AG187" s="345">
        <f t="shared" si="75"/>
        <v>0</v>
      </c>
      <c r="AH187" s="345">
        <f t="shared" si="76"/>
        <v>0</v>
      </c>
      <c r="AI187" s="345">
        <f t="shared" si="77"/>
        <v>0</v>
      </c>
      <c r="AJ187" s="306">
        <f t="shared" si="86"/>
        <v>0</v>
      </c>
      <c r="AK187" s="306">
        <f t="shared" si="87"/>
        <v>0</v>
      </c>
      <c r="AL187" s="306">
        <f t="shared" si="88"/>
        <v>0</v>
      </c>
      <c r="AM187" s="749"/>
      <c r="AN187" s="763"/>
      <c r="AO187" s="780"/>
      <c r="AP187" s="898">
        <f t="shared" si="81"/>
        <v>0</v>
      </c>
      <c r="AQ187" s="900">
        <f t="shared" si="82"/>
        <v>0</v>
      </c>
      <c r="AR187" s="896">
        <f t="shared" si="83"/>
        <v>0</v>
      </c>
      <c r="AS187" s="780"/>
      <c r="AT187" s="780"/>
      <c r="AU187" s="780"/>
      <c r="AV187" s="780"/>
      <c r="AW187" s="780"/>
      <c r="AX187" s="780"/>
      <c r="AY187" s="780"/>
      <c r="AZ187" s="780"/>
      <c r="BA187" s="780"/>
      <c r="BG187" s="440"/>
    </row>
    <row r="188" spans="1:59" x14ac:dyDescent="0.2">
      <c r="A188" s="346"/>
      <c r="B188" s="347"/>
      <c r="C188" s="358"/>
      <c r="D188" s="349"/>
      <c r="E188" s="349"/>
      <c r="F188" s="350"/>
      <c r="G188" s="1211">
        <f t="shared" si="60"/>
        <v>0</v>
      </c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1236">
        <f t="shared" si="84"/>
        <v>0</v>
      </c>
      <c r="S188" s="1237">
        <f t="shared" si="85"/>
        <v>0</v>
      </c>
      <c r="T188" s="341"/>
      <c r="U188" s="381">
        <f t="shared" si="63"/>
        <v>0</v>
      </c>
      <c r="V188" s="342">
        <f t="shared" si="64"/>
        <v>0</v>
      </c>
      <c r="W188" s="342">
        <f t="shared" si="65"/>
        <v>0</v>
      </c>
      <c r="X188" s="342">
        <f t="shared" si="66"/>
        <v>0</v>
      </c>
      <c r="Y188" s="382">
        <f t="shared" si="67"/>
        <v>0</v>
      </c>
      <c r="Z188" s="343">
        <f t="shared" si="68"/>
        <v>0</v>
      </c>
      <c r="AA188" s="343">
        <f t="shared" si="69"/>
        <v>0</v>
      </c>
      <c r="AB188" s="343">
        <f t="shared" si="70"/>
        <v>0</v>
      </c>
      <c r="AC188" s="383">
        <f t="shared" si="71"/>
        <v>0</v>
      </c>
      <c r="AD188" s="344">
        <f t="shared" si="72"/>
        <v>0</v>
      </c>
      <c r="AE188" s="344">
        <f t="shared" si="73"/>
        <v>0</v>
      </c>
      <c r="AF188" s="344">
        <f t="shared" si="74"/>
        <v>0</v>
      </c>
      <c r="AG188" s="345">
        <f t="shared" si="75"/>
        <v>0</v>
      </c>
      <c r="AH188" s="345">
        <f t="shared" si="76"/>
        <v>0</v>
      </c>
      <c r="AI188" s="345">
        <f t="shared" si="77"/>
        <v>0</v>
      </c>
      <c r="AJ188" s="306">
        <f t="shared" si="86"/>
        <v>0</v>
      </c>
      <c r="AK188" s="306">
        <f t="shared" si="87"/>
        <v>0</v>
      </c>
      <c r="AL188" s="306">
        <f t="shared" si="88"/>
        <v>0</v>
      </c>
      <c r="AM188" s="749"/>
      <c r="AN188" s="763"/>
      <c r="AO188" s="780"/>
      <c r="AP188" s="898">
        <f t="shared" si="81"/>
        <v>0</v>
      </c>
      <c r="AQ188" s="900">
        <f t="shared" si="82"/>
        <v>0</v>
      </c>
      <c r="AR188" s="896">
        <f t="shared" si="83"/>
        <v>0</v>
      </c>
      <c r="AS188" s="780"/>
      <c r="AT188" s="780"/>
      <c r="AU188" s="780"/>
      <c r="AV188" s="780"/>
      <c r="AW188" s="780"/>
      <c r="AX188" s="780"/>
      <c r="AY188" s="780"/>
      <c r="AZ188" s="780"/>
      <c r="BA188" s="780"/>
      <c r="BG188" s="440"/>
    </row>
    <row r="189" spans="1:59" x14ac:dyDescent="0.2">
      <c r="A189" s="346"/>
      <c r="B189" s="347"/>
      <c r="C189" s="358"/>
      <c r="D189" s="349"/>
      <c r="E189" s="349"/>
      <c r="F189" s="350"/>
      <c r="G189" s="1211">
        <f t="shared" si="60"/>
        <v>0</v>
      </c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1236">
        <f t="shared" si="84"/>
        <v>0</v>
      </c>
      <c r="S189" s="1237">
        <f t="shared" si="85"/>
        <v>0</v>
      </c>
      <c r="T189" s="341"/>
      <c r="U189" s="381">
        <f t="shared" si="63"/>
        <v>0</v>
      </c>
      <c r="V189" s="342">
        <f t="shared" si="64"/>
        <v>0</v>
      </c>
      <c r="W189" s="342">
        <f t="shared" si="65"/>
        <v>0</v>
      </c>
      <c r="X189" s="342">
        <f t="shared" si="66"/>
        <v>0</v>
      </c>
      <c r="Y189" s="382">
        <f t="shared" si="67"/>
        <v>0</v>
      </c>
      <c r="Z189" s="343">
        <f t="shared" si="68"/>
        <v>0</v>
      </c>
      <c r="AA189" s="343">
        <f t="shared" si="69"/>
        <v>0</v>
      </c>
      <c r="AB189" s="343">
        <f t="shared" si="70"/>
        <v>0</v>
      </c>
      <c r="AC189" s="383">
        <f t="shared" si="71"/>
        <v>0</v>
      </c>
      <c r="AD189" s="344">
        <f t="shared" si="72"/>
        <v>0</v>
      </c>
      <c r="AE189" s="344">
        <f t="shared" si="73"/>
        <v>0</v>
      </c>
      <c r="AF189" s="344">
        <f t="shared" si="74"/>
        <v>0</v>
      </c>
      <c r="AG189" s="345">
        <f t="shared" si="75"/>
        <v>0</v>
      </c>
      <c r="AH189" s="345">
        <f t="shared" si="76"/>
        <v>0</v>
      </c>
      <c r="AI189" s="345">
        <f t="shared" si="77"/>
        <v>0</v>
      </c>
      <c r="AJ189" s="306">
        <f t="shared" si="86"/>
        <v>0</v>
      </c>
      <c r="AK189" s="306">
        <f t="shared" si="87"/>
        <v>0</v>
      </c>
      <c r="AL189" s="306">
        <f t="shared" si="88"/>
        <v>0</v>
      </c>
      <c r="AM189" s="749"/>
      <c r="AN189" s="763"/>
      <c r="AO189" s="780"/>
      <c r="AP189" s="898">
        <f t="shared" si="81"/>
        <v>0</v>
      </c>
      <c r="AQ189" s="900">
        <f t="shared" si="82"/>
        <v>0</v>
      </c>
      <c r="AR189" s="896">
        <f t="shared" si="83"/>
        <v>0</v>
      </c>
      <c r="AS189" s="780"/>
      <c r="AT189" s="780"/>
      <c r="AU189" s="780"/>
      <c r="AV189" s="780"/>
      <c r="AW189" s="780"/>
      <c r="AX189" s="780"/>
      <c r="AY189" s="780"/>
      <c r="AZ189" s="780"/>
      <c r="BA189" s="780"/>
      <c r="BG189" s="440"/>
    </row>
    <row r="190" spans="1:59" x14ac:dyDescent="0.2">
      <c r="A190" s="346"/>
      <c r="B190" s="347"/>
      <c r="C190" s="358"/>
      <c r="D190" s="349"/>
      <c r="E190" s="349"/>
      <c r="F190" s="350"/>
      <c r="G190" s="1211">
        <f t="shared" si="60"/>
        <v>0</v>
      </c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1236">
        <f t="shared" si="84"/>
        <v>0</v>
      </c>
      <c r="S190" s="1237">
        <f t="shared" si="85"/>
        <v>0</v>
      </c>
      <c r="T190" s="341"/>
      <c r="U190" s="381">
        <f t="shared" si="63"/>
        <v>0</v>
      </c>
      <c r="V190" s="342">
        <f t="shared" si="64"/>
        <v>0</v>
      </c>
      <c r="W190" s="342">
        <f t="shared" si="65"/>
        <v>0</v>
      </c>
      <c r="X190" s="342">
        <f t="shared" si="66"/>
        <v>0</v>
      </c>
      <c r="Y190" s="382">
        <f t="shared" si="67"/>
        <v>0</v>
      </c>
      <c r="Z190" s="343">
        <f t="shared" si="68"/>
        <v>0</v>
      </c>
      <c r="AA190" s="343">
        <f t="shared" si="69"/>
        <v>0</v>
      </c>
      <c r="AB190" s="343">
        <f t="shared" si="70"/>
        <v>0</v>
      </c>
      <c r="AC190" s="383">
        <f t="shared" si="71"/>
        <v>0</v>
      </c>
      <c r="AD190" s="344">
        <f t="shared" si="72"/>
        <v>0</v>
      </c>
      <c r="AE190" s="344">
        <f t="shared" si="73"/>
        <v>0</v>
      </c>
      <c r="AF190" s="344">
        <f t="shared" si="74"/>
        <v>0</v>
      </c>
      <c r="AG190" s="345">
        <f t="shared" si="75"/>
        <v>0</v>
      </c>
      <c r="AH190" s="345">
        <f t="shared" si="76"/>
        <v>0</v>
      </c>
      <c r="AI190" s="345">
        <f t="shared" si="77"/>
        <v>0</v>
      </c>
      <c r="AJ190" s="306">
        <f t="shared" si="86"/>
        <v>0</v>
      </c>
      <c r="AK190" s="306">
        <f t="shared" si="87"/>
        <v>0</v>
      </c>
      <c r="AL190" s="306">
        <f t="shared" si="88"/>
        <v>0</v>
      </c>
      <c r="AM190" s="749"/>
      <c r="AN190" s="763"/>
      <c r="AO190" s="780"/>
      <c r="AP190" s="898">
        <f t="shared" si="81"/>
        <v>0</v>
      </c>
      <c r="AQ190" s="900">
        <f t="shared" si="82"/>
        <v>0</v>
      </c>
      <c r="AR190" s="896">
        <f t="shared" si="83"/>
        <v>0</v>
      </c>
      <c r="AS190" s="780"/>
      <c r="AT190" s="780"/>
      <c r="AU190" s="780"/>
      <c r="AV190" s="780"/>
      <c r="AW190" s="780"/>
      <c r="AX190" s="780"/>
      <c r="AY190" s="780"/>
      <c r="AZ190" s="780"/>
      <c r="BA190" s="780"/>
      <c r="BG190" s="440"/>
    </row>
    <row r="191" spans="1:59" x14ac:dyDescent="0.2">
      <c r="A191" s="346"/>
      <c r="B191" s="347"/>
      <c r="C191" s="358"/>
      <c r="D191" s="349"/>
      <c r="E191" s="349"/>
      <c r="F191" s="350"/>
      <c r="G191" s="1211">
        <f t="shared" si="60"/>
        <v>0</v>
      </c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1236">
        <f t="shared" si="84"/>
        <v>0</v>
      </c>
      <c r="S191" s="1237">
        <f t="shared" si="85"/>
        <v>0</v>
      </c>
      <c r="T191" s="341"/>
      <c r="U191" s="381">
        <f t="shared" si="63"/>
        <v>0</v>
      </c>
      <c r="V191" s="342">
        <f t="shared" si="64"/>
        <v>0</v>
      </c>
      <c r="W191" s="342">
        <f t="shared" si="65"/>
        <v>0</v>
      </c>
      <c r="X191" s="342">
        <f t="shared" si="66"/>
        <v>0</v>
      </c>
      <c r="Y191" s="382">
        <f t="shared" si="67"/>
        <v>0</v>
      </c>
      <c r="Z191" s="343">
        <f t="shared" si="68"/>
        <v>0</v>
      </c>
      <c r="AA191" s="343">
        <f t="shared" si="69"/>
        <v>0</v>
      </c>
      <c r="AB191" s="343">
        <f t="shared" si="70"/>
        <v>0</v>
      </c>
      <c r="AC191" s="383">
        <f t="shared" si="71"/>
        <v>0</v>
      </c>
      <c r="AD191" s="344">
        <f t="shared" si="72"/>
        <v>0</v>
      </c>
      <c r="AE191" s="344">
        <f t="shared" si="73"/>
        <v>0</v>
      </c>
      <c r="AF191" s="344">
        <f t="shared" si="74"/>
        <v>0</v>
      </c>
      <c r="AG191" s="345">
        <f t="shared" si="75"/>
        <v>0</v>
      </c>
      <c r="AH191" s="345">
        <f t="shared" si="76"/>
        <v>0</v>
      </c>
      <c r="AI191" s="345">
        <f t="shared" si="77"/>
        <v>0</v>
      </c>
      <c r="AJ191" s="306">
        <f t="shared" si="86"/>
        <v>0</v>
      </c>
      <c r="AK191" s="306">
        <f t="shared" si="87"/>
        <v>0</v>
      </c>
      <c r="AL191" s="306">
        <f t="shared" si="88"/>
        <v>0</v>
      </c>
      <c r="AM191" s="749"/>
      <c r="AN191" s="763"/>
      <c r="AO191" s="780"/>
      <c r="AP191" s="898">
        <f t="shared" si="81"/>
        <v>0</v>
      </c>
      <c r="AQ191" s="900">
        <f t="shared" si="82"/>
        <v>0</v>
      </c>
      <c r="AR191" s="896">
        <f t="shared" si="83"/>
        <v>0</v>
      </c>
      <c r="AS191" s="780"/>
      <c r="AT191" s="780"/>
      <c r="AU191" s="780"/>
      <c r="AV191" s="780"/>
      <c r="AW191" s="780"/>
      <c r="AX191" s="780"/>
      <c r="AY191" s="780"/>
      <c r="AZ191" s="780"/>
      <c r="BA191" s="780"/>
      <c r="BG191" s="440"/>
    </row>
    <row r="192" spans="1:59" x14ac:dyDescent="0.2">
      <c r="A192" s="346"/>
      <c r="B192" s="347"/>
      <c r="C192" s="358"/>
      <c r="D192" s="349"/>
      <c r="E192" s="349"/>
      <c r="F192" s="350"/>
      <c r="G192" s="1211">
        <f t="shared" si="60"/>
        <v>0</v>
      </c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1236">
        <f t="shared" si="84"/>
        <v>0</v>
      </c>
      <c r="S192" s="1237">
        <f t="shared" si="85"/>
        <v>0</v>
      </c>
      <c r="T192" s="341"/>
      <c r="U192" s="381">
        <f t="shared" si="63"/>
        <v>0</v>
      </c>
      <c r="V192" s="342">
        <f t="shared" si="64"/>
        <v>0</v>
      </c>
      <c r="W192" s="342">
        <f t="shared" si="65"/>
        <v>0</v>
      </c>
      <c r="X192" s="342">
        <f t="shared" si="66"/>
        <v>0</v>
      </c>
      <c r="Y192" s="382">
        <f t="shared" si="67"/>
        <v>0</v>
      </c>
      <c r="Z192" s="343">
        <f t="shared" si="68"/>
        <v>0</v>
      </c>
      <c r="AA192" s="343">
        <f t="shared" si="69"/>
        <v>0</v>
      </c>
      <c r="AB192" s="343">
        <f t="shared" si="70"/>
        <v>0</v>
      </c>
      <c r="AC192" s="383">
        <f t="shared" si="71"/>
        <v>0</v>
      </c>
      <c r="AD192" s="344">
        <f t="shared" si="72"/>
        <v>0</v>
      </c>
      <c r="AE192" s="344">
        <f t="shared" si="73"/>
        <v>0</v>
      </c>
      <c r="AF192" s="344">
        <f t="shared" si="74"/>
        <v>0</v>
      </c>
      <c r="AG192" s="345">
        <f t="shared" si="75"/>
        <v>0</v>
      </c>
      <c r="AH192" s="345">
        <f t="shared" si="76"/>
        <v>0</v>
      </c>
      <c r="AI192" s="345">
        <f t="shared" si="77"/>
        <v>0</v>
      </c>
      <c r="AJ192" s="306">
        <f t="shared" si="86"/>
        <v>0</v>
      </c>
      <c r="AK192" s="306">
        <f t="shared" si="87"/>
        <v>0</v>
      </c>
      <c r="AL192" s="306">
        <f t="shared" si="88"/>
        <v>0</v>
      </c>
      <c r="AM192" s="749"/>
      <c r="AN192" s="763"/>
      <c r="AO192" s="780"/>
      <c r="AP192" s="898">
        <f t="shared" si="81"/>
        <v>0</v>
      </c>
      <c r="AQ192" s="900">
        <f t="shared" si="82"/>
        <v>0</v>
      </c>
      <c r="AR192" s="896">
        <f t="shared" si="83"/>
        <v>0</v>
      </c>
      <c r="AS192" s="780"/>
      <c r="AT192" s="780"/>
      <c r="AU192" s="780"/>
      <c r="AV192" s="780"/>
      <c r="AW192" s="780"/>
      <c r="AX192" s="780"/>
      <c r="AY192" s="780"/>
      <c r="AZ192" s="780"/>
      <c r="BA192" s="780"/>
      <c r="BG192" s="440"/>
    </row>
    <row r="193" spans="1:59" x14ac:dyDescent="0.2">
      <c r="A193" s="346"/>
      <c r="B193" s="347"/>
      <c r="C193" s="358"/>
      <c r="D193" s="349"/>
      <c r="E193" s="349"/>
      <c r="F193" s="350"/>
      <c r="G193" s="1211">
        <f t="shared" si="60"/>
        <v>0</v>
      </c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1236">
        <f t="shared" si="84"/>
        <v>0</v>
      </c>
      <c r="S193" s="1237">
        <f t="shared" si="85"/>
        <v>0</v>
      </c>
      <c r="T193" s="341"/>
      <c r="U193" s="381">
        <f t="shared" si="63"/>
        <v>0</v>
      </c>
      <c r="V193" s="342">
        <f t="shared" si="64"/>
        <v>0</v>
      </c>
      <c r="W193" s="342">
        <f t="shared" si="65"/>
        <v>0</v>
      </c>
      <c r="X193" s="342">
        <f t="shared" si="66"/>
        <v>0</v>
      </c>
      <c r="Y193" s="382">
        <f t="shared" si="67"/>
        <v>0</v>
      </c>
      <c r="Z193" s="343">
        <f t="shared" si="68"/>
        <v>0</v>
      </c>
      <c r="AA193" s="343">
        <f t="shared" si="69"/>
        <v>0</v>
      </c>
      <c r="AB193" s="343">
        <f t="shared" si="70"/>
        <v>0</v>
      </c>
      <c r="AC193" s="383">
        <f t="shared" si="71"/>
        <v>0</v>
      </c>
      <c r="AD193" s="344">
        <f t="shared" si="72"/>
        <v>0</v>
      </c>
      <c r="AE193" s="344">
        <f t="shared" si="73"/>
        <v>0</v>
      </c>
      <c r="AF193" s="344">
        <f t="shared" si="74"/>
        <v>0</v>
      </c>
      <c r="AG193" s="345">
        <f t="shared" si="75"/>
        <v>0</v>
      </c>
      <c r="AH193" s="345">
        <f t="shared" si="76"/>
        <v>0</v>
      </c>
      <c r="AI193" s="345">
        <f t="shared" si="77"/>
        <v>0</v>
      </c>
      <c r="AJ193" s="306">
        <f t="shared" si="86"/>
        <v>0</v>
      </c>
      <c r="AK193" s="306">
        <f t="shared" si="87"/>
        <v>0</v>
      </c>
      <c r="AL193" s="306">
        <f t="shared" si="88"/>
        <v>0</v>
      </c>
      <c r="AM193" s="749"/>
      <c r="AN193" s="763"/>
      <c r="AO193" s="780"/>
      <c r="AP193" s="898">
        <f t="shared" si="81"/>
        <v>0</v>
      </c>
      <c r="AQ193" s="900">
        <f t="shared" si="82"/>
        <v>0</v>
      </c>
      <c r="AR193" s="896">
        <f t="shared" si="83"/>
        <v>0</v>
      </c>
      <c r="AS193" s="780"/>
      <c r="AT193" s="780"/>
      <c r="AU193" s="780"/>
      <c r="AV193" s="780"/>
      <c r="AW193" s="780"/>
      <c r="AX193" s="780"/>
      <c r="AY193" s="780"/>
      <c r="AZ193" s="780"/>
      <c r="BA193" s="780"/>
      <c r="BG193" s="440"/>
    </row>
    <row r="194" spans="1:59" x14ac:dyDescent="0.2">
      <c r="A194" s="346"/>
      <c r="B194" s="347"/>
      <c r="C194" s="358"/>
      <c r="D194" s="349"/>
      <c r="E194" s="349"/>
      <c r="F194" s="350"/>
      <c r="G194" s="1211">
        <f t="shared" si="60"/>
        <v>0</v>
      </c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1236">
        <f t="shared" si="84"/>
        <v>0</v>
      </c>
      <c r="S194" s="1237">
        <f t="shared" si="85"/>
        <v>0</v>
      </c>
      <c r="T194" s="341"/>
      <c r="U194" s="381">
        <f t="shared" si="63"/>
        <v>0</v>
      </c>
      <c r="V194" s="342">
        <f t="shared" si="64"/>
        <v>0</v>
      </c>
      <c r="W194" s="342">
        <f t="shared" si="65"/>
        <v>0</v>
      </c>
      <c r="X194" s="342">
        <f t="shared" si="66"/>
        <v>0</v>
      </c>
      <c r="Y194" s="382">
        <f t="shared" si="67"/>
        <v>0</v>
      </c>
      <c r="Z194" s="343">
        <f t="shared" si="68"/>
        <v>0</v>
      </c>
      <c r="AA194" s="343">
        <f t="shared" si="69"/>
        <v>0</v>
      </c>
      <c r="AB194" s="343">
        <f t="shared" si="70"/>
        <v>0</v>
      </c>
      <c r="AC194" s="383">
        <f t="shared" si="71"/>
        <v>0</v>
      </c>
      <c r="AD194" s="344">
        <f t="shared" si="72"/>
        <v>0</v>
      </c>
      <c r="AE194" s="344">
        <f t="shared" si="73"/>
        <v>0</v>
      </c>
      <c r="AF194" s="344">
        <f t="shared" si="74"/>
        <v>0</v>
      </c>
      <c r="AG194" s="345">
        <f t="shared" si="75"/>
        <v>0</v>
      </c>
      <c r="AH194" s="345">
        <f t="shared" si="76"/>
        <v>0</v>
      </c>
      <c r="AI194" s="345">
        <f t="shared" si="77"/>
        <v>0</v>
      </c>
      <c r="AJ194" s="306">
        <f t="shared" si="86"/>
        <v>0</v>
      </c>
      <c r="AK194" s="306">
        <f t="shared" si="87"/>
        <v>0</v>
      </c>
      <c r="AL194" s="306">
        <f t="shared" si="88"/>
        <v>0</v>
      </c>
      <c r="AM194" s="749"/>
      <c r="AN194" s="763"/>
      <c r="AO194" s="780"/>
      <c r="AP194" s="898">
        <f t="shared" si="81"/>
        <v>0</v>
      </c>
      <c r="AQ194" s="900">
        <f t="shared" si="82"/>
        <v>0</v>
      </c>
      <c r="AR194" s="896">
        <f t="shared" si="83"/>
        <v>0</v>
      </c>
      <c r="AS194" s="780"/>
      <c r="AT194" s="780"/>
      <c r="AU194" s="780"/>
      <c r="AV194" s="780"/>
      <c r="AW194" s="780"/>
      <c r="AX194" s="780"/>
      <c r="AY194" s="780"/>
      <c r="AZ194" s="780"/>
      <c r="BA194" s="780"/>
      <c r="BG194" s="440"/>
    </row>
    <row r="195" spans="1:59" x14ac:dyDescent="0.2">
      <c r="A195" s="346"/>
      <c r="B195" s="347"/>
      <c r="C195" s="358"/>
      <c r="D195" s="349"/>
      <c r="E195" s="349"/>
      <c r="F195" s="350"/>
      <c r="G195" s="1211">
        <f t="shared" ref="G195:G243" si="89">IFERROR(F195*C195,"")</f>
        <v>0</v>
      </c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1236">
        <f t="shared" ref="R195:R222" si="90">IFERROR(IF(A195&lt;&gt;"GfB",(SUM(G195:J195,L195,P195)*12+(N195+O195))*(100+$J$12+$J$13)%+((K195+M195+Q195)*12),(SUM(G195:J195,L195,P195)*12+(N195+O195))*(100+$J$15+$J$13)%+((K195+M195+Q195)*12)),0)</f>
        <v>0</v>
      </c>
      <c r="S195" s="1237">
        <f t="shared" ref="S195:S222" si="91">IF(ISERROR(R195/C195),0,(R195/C195))</f>
        <v>0</v>
      </c>
      <c r="T195" s="341"/>
      <c r="U195" s="381">
        <f t="shared" ref="U195:U243" si="92">(IF(AND($B195="PFK/BFK",$C195&gt;0,$F195&gt;0),($G195+$H195),0))</f>
        <v>0</v>
      </c>
      <c r="V195" s="342">
        <f t="shared" ref="V195:V243" si="93">(IF(AND($B195="PFK/BFK",$C195&gt;0,$F195&gt;0),$I195,0))</f>
        <v>0</v>
      </c>
      <c r="W195" s="342">
        <f t="shared" ref="W195:W243" si="94">(IF(AND($B195="PFK/BFK",$C195&gt;0,$F195&gt;0),($J195+$K195),0))</f>
        <v>0</v>
      </c>
      <c r="X195" s="342">
        <f t="shared" ref="X195:X243" si="95">(IF(AND($B195="PFK/BFK",$C195&gt;0,$F195&gt;0),(($N195+$O195)/12),0))</f>
        <v>0</v>
      </c>
      <c r="Y195" s="382">
        <f t="shared" ref="Y195:Y243" si="96">(IF(AND($B195="PK/BK",$C195&gt;0,$F195&gt;0),($G195+$H195),0))</f>
        <v>0</v>
      </c>
      <c r="Z195" s="343">
        <f t="shared" ref="Z195:Z243" si="97">(IF(AND($B195="PK/BK",$C195&gt;0,$F195&gt;0),$I195,0))</f>
        <v>0</v>
      </c>
      <c r="AA195" s="343">
        <f t="shared" ref="AA195:AA243" si="98">(IF(AND($B195="PK/BK",$C195&gt;0,$F195&gt;0),($J195+$K195),0))</f>
        <v>0</v>
      </c>
      <c r="AB195" s="343">
        <f t="shared" ref="AB195:AB243" si="99">(IF(AND($B195="PK/BK",$C195&gt;0,$F195&gt;0),(($N195+$O195)/12),0))</f>
        <v>0</v>
      </c>
      <c r="AC195" s="383">
        <f t="shared" ref="AC195:AC243" si="100">(IF(AND($B195="PK/BK o.",$C195&gt;0,$F195&gt;0),($G195+$H195),0))</f>
        <v>0</v>
      </c>
      <c r="AD195" s="344">
        <f t="shared" ref="AD195:AD243" si="101">(IF(AND($B195="PK/BK o.",$C195&gt;0,$F195&gt;0),$I195,0))</f>
        <v>0</v>
      </c>
      <c r="AE195" s="344">
        <f t="shared" ref="AE195:AE243" si="102">(IF(AND($B195="PK/BK o.",$C195&gt;0,$F195&gt;0),($J195+$K195),0))</f>
        <v>0</v>
      </c>
      <c r="AF195" s="344">
        <f t="shared" ref="AF195:AF243" si="103">(IF(AND($B195="PK/BK o.",$C195&gt;0,$F195&gt;0),(($N195+$O195)/12),0))</f>
        <v>0</v>
      </c>
      <c r="AG195" s="345">
        <f t="shared" ref="AG195:AG243" si="104">IF(AND($B195="PFK/BFK",$C195&gt;0,$F195&gt;0),$C195,0)</f>
        <v>0</v>
      </c>
      <c r="AH195" s="345">
        <f t="shared" ref="AH195:AH243" si="105">IF(AND($B195="PK/BK",$C195&gt;0,$F195&gt;0),$C195,0)</f>
        <v>0</v>
      </c>
      <c r="AI195" s="345">
        <f t="shared" ref="AI195:AI243" si="106">IF(AND($B195="PK/BK o.",$C195&gt;0,$F195&gt;0),$C195,0)</f>
        <v>0</v>
      </c>
      <c r="AJ195" s="306">
        <f t="shared" ref="AJ195:AJ226" si="107">IF(AND($B195="PFK/BFK",$C195&gt;0,$F195&gt;0),$R195,0)</f>
        <v>0</v>
      </c>
      <c r="AK195" s="306">
        <f t="shared" ref="AK195:AK226" si="108">IF(AND($B195="PK/BK",$C195&gt;0,$F195&gt;0),$R195,0)</f>
        <v>0</v>
      </c>
      <c r="AL195" s="306">
        <f t="shared" ref="AL195:AL226" si="109">IF(AND($B195="PK/BK o.",$C195&gt;0,$F195&gt;0),$R195,0)</f>
        <v>0</v>
      </c>
      <c r="AM195" s="749"/>
      <c r="AN195" s="763"/>
      <c r="AO195" s="780"/>
      <c r="AP195" s="898">
        <f t="shared" si="81"/>
        <v>0</v>
      </c>
      <c r="AQ195" s="900">
        <f t="shared" si="82"/>
        <v>0</v>
      </c>
      <c r="AR195" s="896">
        <f t="shared" si="83"/>
        <v>0</v>
      </c>
      <c r="AS195" s="780"/>
      <c r="AT195" s="780"/>
      <c r="AU195" s="780"/>
      <c r="AV195" s="780"/>
      <c r="AW195" s="780"/>
      <c r="AX195" s="780"/>
      <c r="AY195" s="780"/>
      <c r="AZ195" s="780"/>
      <c r="BA195" s="780"/>
      <c r="BG195" s="440"/>
    </row>
    <row r="196" spans="1:59" x14ac:dyDescent="0.2">
      <c r="A196" s="346"/>
      <c r="B196" s="347"/>
      <c r="C196" s="358"/>
      <c r="D196" s="349"/>
      <c r="E196" s="349"/>
      <c r="F196" s="350"/>
      <c r="G196" s="1211">
        <f t="shared" si="89"/>
        <v>0</v>
      </c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1236">
        <f t="shared" si="90"/>
        <v>0</v>
      </c>
      <c r="S196" s="1237">
        <f t="shared" si="91"/>
        <v>0</v>
      </c>
      <c r="T196" s="341"/>
      <c r="U196" s="381">
        <f t="shared" si="92"/>
        <v>0</v>
      </c>
      <c r="V196" s="342">
        <f t="shared" si="93"/>
        <v>0</v>
      </c>
      <c r="W196" s="342">
        <f t="shared" si="94"/>
        <v>0</v>
      </c>
      <c r="X196" s="342">
        <f t="shared" si="95"/>
        <v>0</v>
      </c>
      <c r="Y196" s="382">
        <f t="shared" si="96"/>
        <v>0</v>
      </c>
      <c r="Z196" s="343">
        <f t="shared" si="97"/>
        <v>0</v>
      </c>
      <c r="AA196" s="343">
        <f t="shared" si="98"/>
        <v>0</v>
      </c>
      <c r="AB196" s="343">
        <f t="shared" si="99"/>
        <v>0</v>
      </c>
      <c r="AC196" s="383">
        <f t="shared" si="100"/>
        <v>0</v>
      </c>
      <c r="AD196" s="344">
        <f t="shared" si="101"/>
        <v>0</v>
      </c>
      <c r="AE196" s="344">
        <f t="shared" si="102"/>
        <v>0</v>
      </c>
      <c r="AF196" s="344">
        <f t="shared" si="103"/>
        <v>0</v>
      </c>
      <c r="AG196" s="345">
        <f t="shared" si="104"/>
        <v>0</v>
      </c>
      <c r="AH196" s="345">
        <f t="shared" si="105"/>
        <v>0</v>
      </c>
      <c r="AI196" s="345">
        <f t="shared" si="106"/>
        <v>0</v>
      </c>
      <c r="AJ196" s="306">
        <f t="shared" si="107"/>
        <v>0</v>
      </c>
      <c r="AK196" s="306">
        <f t="shared" si="108"/>
        <v>0</v>
      </c>
      <c r="AL196" s="306">
        <f t="shared" si="109"/>
        <v>0</v>
      </c>
      <c r="AM196" s="749"/>
      <c r="AN196" s="763"/>
      <c r="AO196" s="780"/>
      <c r="AP196" s="898">
        <f t="shared" ref="AP196:AP243" si="110">AG196</f>
        <v>0</v>
      </c>
      <c r="AQ196" s="900">
        <f t="shared" ref="AQ196:AQ243" si="111">AH196</f>
        <v>0</v>
      </c>
      <c r="AR196" s="896">
        <f t="shared" ref="AR196:AR243" si="112">AI196</f>
        <v>0</v>
      </c>
      <c r="AS196" s="780"/>
      <c r="AT196" s="780"/>
      <c r="AU196" s="780"/>
      <c r="AV196" s="780"/>
      <c r="AW196" s="780"/>
      <c r="AX196" s="780"/>
      <c r="AY196" s="780"/>
      <c r="AZ196" s="780"/>
      <c r="BA196" s="780"/>
      <c r="BG196" s="440"/>
    </row>
    <row r="197" spans="1:59" x14ac:dyDescent="0.2">
      <c r="A197" s="346"/>
      <c r="B197" s="347"/>
      <c r="C197" s="358"/>
      <c r="D197" s="349"/>
      <c r="E197" s="349"/>
      <c r="F197" s="350"/>
      <c r="G197" s="1211">
        <f t="shared" si="89"/>
        <v>0</v>
      </c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1236">
        <f t="shared" si="90"/>
        <v>0</v>
      </c>
      <c r="S197" s="1237">
        <f t="shared" si="91"/>
        <v>0</v>
      </c>
      <c r="T197" s="341"/>
      <c r="U197" s="381">
        <f t="shared" si="92"/>
        <v>0</v>
      </c>
      <c r="V197" s="342">
        <f t="shared" si="93"/>
        <v>0</v>
      </c>
      <c r="W197" s="342">
        <f t="shared" si="94"/>
        <v>0</v>
      </c>
      <c r="X197" s="342">
        <f t="shared" si="95"/>
        <v>0</v>
      </c>
      <c r="Y197" s="382">
        <f t="shared" si="96"/>
        <v>0</v>
      </c>
      <c r="Z197" s="343">
        <f t="shared" si="97"/>
        <v>0</v>
      </c>
      <c r="AA197" s="343">
        <f t="shared" si="98"/>
        <v>0</v>
      </c>
      <c r="AB197" s="343">
        <f t="shared" si="99"/>
        <v>0</v>
      </c>
      <c r="AC197" s="383">
        <f t="shared" si="100"/>
        <v>0</v>
      </c>
      <c r="AD197" s="344">
        <f t="shared" si="101"/>
        <v>0</v>
      </c>
      <c r="AE197" s="344">
        <f t="shared" si="102"/>
        <v>0</v>
      </c>
      <c r="AF197" s="344">
        <f t="shared" si="103"/>
        <v>0</v>
      </c>
      <c r="AG197" s="345">
        <f t="shared" si="104"/>
        <v>0</v>
      </c>
      <c r="AH197" s="345">
        <f t="shared" si="105"/>
        <v>0</v>
      </c>
      <c r="AI197" s="345">
        <f t="shared" si="106"/>
        <v>0</v>
      </c>
      <c r="AJ197" s="306">
        <f t="shared" si="107"/>
        <v>0</v>
      </c>
      <c r="AK197" s="306">
        <f t="shared" si="108"/>
        <v>0</v>
      </c>
      <c r="AL197" s="306">
        <f t="shared" si="109"/>
        <v>0</v>
      </c>
      <c r="AM197" s="749"/>
      <c r="AN197" s="763"/>
      <c r="AO197" s="780"/>
      <c r="AP197" s="898">
        <f t="shared" si="110"/>
        <v>0</v>
      </c>
      <c r="AQ197" s="900">
        <f t="shared" si="111"/>
        <v>0</v>
      </c>
      <c r="AR197" s="896">
        <f t="shared" si="112"/>
        <v>0</v>
      </c>
      <c r="AS197" s="780"/>
      <c r="AT197" s="780"/>
      <c r="AU197" s="780"/>
      <c r="AV197" s="780"/>
      <c r="AW197" s="780"/>
      <c r="AX197" s="780"/>
      <c r="AY197" s="780"/>
      <c r="AZ197" s="780"/>
      <c r="BA197" s="780"/>
      <c r="BG197" s="440"/>
    </row>
    <row r="198" spans="1:59" x14ac:dyDescent="0.2">
      <c r="A198" s="346"/>
      <c r="B198" s="347"/>
      <c r="C198" s="358"/>
      <c r="D198" s="349"/>
      <c r="E198" s="349"/>
      <c r="F198" s="350"/>
      <c r="G198" s="1211">
        <f t="shared" si="89"/>
        <v>0</v>
      </c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1236">
        <f t="shared" si="90"/>
        <v>0</v>
      </c>
      <c r="S198" s="1237">
        <f t="shared" si="91"/>
        <v>0</v>
      </c>
      <c r="T198" s="341"/>
      <c r="U198" s="381">
        <f t="shared" si="92"/>
        <v>0</v>
      </c>
      <c r="V198" s="342">
        <f t="shared" si="93"/>
        <v>0</v>
      </c>
      <c r="W198" s="342">
        <f t="shared" si="94"/>
        <v>0</v>
      </c>
      <c r="X198" s="342">
        <f t="shared" si="95"/>
        <v>0</v>
      </c>
      <c r="Y198" s="382">
        <f t="shared" si="96"/>
        <v>0</v>
      </c>
      <c r="Z198" s="343">
        <f t="shared" si="97"/>
        <v>0</v>
      </c>
      <c r="AA198" s="343">
        <f t="shared" si="98"/>
        <v>0</v>
      </c>
      <c r="AB198" s="343">
        <f t="shared" si="99"/>
        <v>0</v>
      </c>
      <c r="AC198" s="383">
        <f t="shared" si="100"/>
        <v>0</v>
      </c>
      <c r="AD198" s="344">
        <f t="shared" si="101"/>
        <v>0</v>
      </c>
      <c r="AE198" s="344">
        <f t="shared" si="102"/>
        <v>0</v>
      </c>
      <c r="AF198" s="344">
        <f t="shared" si="103"/>
        <v>0</v>
      </c>
      <c r="AG198" s="345">
        <f t="shared" si="104"/>
        <v>0</v>
      </c>
      <c r="AH198" s="345">
        <f t="shared" si="105"/>
        <v>0</v>
      </c>
      <c r="AI198" s="345">
        <f t="shared" si="106"/>
        <v>0</v>
      </c>
      <c r="AJ198" s="306">
        <f t="shared" si="107"/>
        <v>0</v>
      </c>
      <c r="AK198" s="306">
        <f t="shared" si="108"/>
        <v>0</v>
      </c>
      <c r="AL198" s="306">
        <f t="shared" si="109"/>
        <v>0</v>
      </c>
      <c r="AM198" s="749"/>
      <c r="AN198" s="763"/>
      <c r="AO198" s="780"/>
      <c r="AP198" s="898">
        <f t="shared" si="110"/>
        <v>0</v>
      </c>
      <c r="AQ198" s="900">
        <f t="shared" si="111"/>
        <v>0</v>
      </c>
      <c r="AR198" s="896">
        <f t="shared" si="112"/>
        <v>0</v>
      </c>
      <c r="AS198" s="780"/>
      <c r="AT198" s="780"/>
      <c r="AU198" s="780"/>
      <c r="AV198" s="780"/>
      <c r="AW198" s="780"/>
      <c r="AX198" s="780"/>
      <c r="AY198" s="780"/>
      <c r="AZ198" s="780"/>
      <c r="BA198" s="780"/>
      <c r="BG198" s="440"/>
    </row>
    <row r="199" spans="1:59" x14ac:dyDescent="0.2">
      <c r="A199" s="346"/>
      <c r="B199" s="347"/>
      <c r="C199" s="358"/>
      <c r="D199" s="349"/>
      <c r="E199" s="349"/>
      <c r="F199" s="350"/>
      <c r="G199" s="1211">
        <f t="shared" si="89"/>
        <v>0</v>
      </c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1236">
        <f t="shared" si="90"/>
        <v>0</v>
      </c>
      <c r="S199" s="1237">
        <f t="shared" si="91"/>
        <v>0</v>
      </c>
      <c r="T199" s="341"/>
      <c r="U199" s="381">
        <f t="shared" si="92"/>
        <v>0</v>
      </c>
      <c r="V199" s="342">
        <f t="shared" si="93"/>
        <v>0</v>
      </c>
      <c r="W199" s="342">
        <f t="shared" si="94"/>
        <v>0</v>
      </c>
      <c r="X199" s="342">
        <f t="shared" si="95"/>
        <v>0</v>
      </c>
      <c r="Y199" s="382">
        <f t="shared" si="96"/>
        <v>0</v>
      </c>
      <c r="Z199" s="343">
        <f t="shared" si="97"/>
        <v>0</v>
      </c>
      <c r="AA199" s="343">
        <f t="shared" si="98"/>
        <v>0</v>
      </c>
      <c r="AB199" s="343">
        <f t="shared" si="99"/>
        <v>0</v>
      </c>
      <c r="AC199" s="383">
        <f t="shared" si="100"/>
        <v>0</v>
      </c>
      <c r="AD199" s="344">
        <f t="shared" si="101"/>
        <v>0</v>
      </c>
      <c r="AE199" s="344">
        <f t="shared" si="102"/>
        <v>0</v>
      </c>
      <c r="AF199" s="344">
        <f t="shared" si="103"/>
        <v>0</v>
      </c>
      <c r="AG199" s="345">
        <f t="shared" si="104"/>
        <v>0</v>
      </c>
      <c r="AH199" s="345">
        <f t="shared" si="105"/>
        <v>0</v>
      </c>
      <c r="AI199" s="345">
        <f t="shared" si="106"/>
        <v>0</v>
      </c>
      <c r="AJ199" s="306">
        <f t="shared" si="107"/>
        <v>0</v>
      </c>
      <c r="AK199" s="306">
        <f t="shared" si="108"/>
        <v>0</v>
      </c>
      <c r="AL199" s="306">
        <f t="shared" si="109"/>
        <v>0</v>
      </c>
      <c r="AM199" s="749"/>
      <c r="AN199" s="763"/>
      <c r="AO199" s="780"/>
      <c r="AP199" s="898">
        <f t="shared" si="110"/>
        <v>0</v>
      </c>
      <c r="AQ199" s="900">
        <f t="shared" si="111"/>
        <v>0</v>
      </c>
      <c r="AR199" s="896">
        <f t="shared" si="112"/>
        <v>0</v>
      </c>
      <c r="AS199" s="780"/>
      <c r="AT199" s="780"/>
      <c r="AU199" s="780"/>
      <c r="AV199" s="780"/>
      <c r="AW199" s="780"/>
      <c r="AX199" s="780"/>
      <c r="AY199" s="780"/>
      <c r="AZ199" s="780"/>
      <c r="BA199" s="780"/>
      <c r="BG199" s="440"/>
    </row>
    <row r="200" spans="1:59" x14ac:dyDescent="0.2">
      <c r="A200" s="346"/>
      <c r="B200" s="347"/>
      <c r="C200" s="358"/>
      <c r="D200" s="349"/>
      <c r="E200" s="349"/>
      <c r="F200" s="350"/>
      <c r="G200" s="1211">
        <f t="shared" si="89"/>
        <v>0</v>
      </c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1236">
        <f t="shared" si="90"/>
        <v>0</v>
      </c>
      <c r="S200" s="1237">
        <f t="shared" si="91"/>
        <v>0</v>
      </c>
      <c r="T200" s="341"/>
      <c r="U200" s="381">
        <f t="shared" si="92"/>
        <v>0</v>
      </c>
      <c r="V200" s="342">
        <f t="shared" si="93"/>
        <v>0</v>
      </c>
      <c r="W200" s="342">
        <f t="shared" si="94"/>
        <v>0</v>
      </c>
      <c r="X200" s="342">
        <f t="shared" si="95"/>
        <v>0</v>
      </c>
      <c r="Y200" s="382">
        <f t="shared" si="96"/>
        <v>0</v>
      </c>
      <c r="Z200" s="343">
        <f t="shared" si="97"/>
        <v>0</v>
      </c>
      <c r="AA200" s="343">
        <f t="shared" si="98"/>
        <v>0</v>
      </c>
      <c r="AB200" s="343">
        <f t="shared" si="99"/>
        <v>0</v>
      </c>
      <c r="AC200" s="383">
        <f t="shared" si="100"/>
        <v>0</v>
      </c>
      <c r="AD200" s="344">
        <f t="shared" si="101"/>
        <v>0</v>
      </c>
      <c r="AE200" s="344">
        <f t="shared" si="102"/>
        <v>0</v>
      </c>
      <c r="AF200" s="344">
        <f t="shared" si="103"/>
        <v>0</v>
      </c>
      <c r="AG200" s="345">
        <f t="shared" si="104"/>
        <v>0</v>
      </c>
      <c r="AH200" s="345">
        <f t="shared" si="105"/>
        <v>0</v>
      </c>
      <c r="AI200" s="345">
        <f t="shared" si="106"/>
        <v>0</v>
      </c>
      <c r="AJ200" s="306">
        <f t="shared" si="107"/>
        <v>0</v>
      </c>
      <c r="AK200" s="306">
        <f t="shared" si="108"/>
        <v>0</v>
      </c>
      <c r="AL200" s="306">
        <f t="shared" si="109"/>
        <v>0</v>
      </c>
      <c r="AM200" s="749"/>
      <c r="AN200" s="763"/>
      <c r="AO200" s="780"/>
      <c r="AP200" s="898">
        <f t="shared" si="110"/>
        <v>0</v>
      </c>
      <c r="AQ200" s="900">
        <f t="shared" si="111"/>
        <v>0</v>
      </c>
      <c r="AR200" s="896">
        <f t="shared" si="112"/>
        <v>0</v>
      </c>
      <c r="AS200" s="780"/>
      <c r="AT200" s="780"/>
      <c r="AU200" s="780"/>
      <c r="AV200" s="780"/>
      <c r="AW200" s="780"/>
      <c r="AX200" s="780"/>
      <c r="AY200" s="780"/>
      <c r="AZ200" s="780"/>
      <c r="BA200" s="780"/>
      <c r="BG200" s="440"/>
    </row>
    <row r="201" spans="1:59" x14ac:dyDescent="0.2">
      <c r="A201" s="346"/>
      <c r="B201" s="347"/>
      <c r="C201" s="358"/>
      <c r="D201" s="349"/>
      <c r="E201" s="349"/>
      <c r="F201" s="350"/>
      <c r="G201" s="1211">
        <f t="shared" si="89"/>
        <v>0</v>
      </c>
      <c r="H201" s="339"/>
      <c r="I201" s="339"/>
      <c r="J201" s="339"/>
      <c r="K201" s="339"/>
      <c r="L201" s="339"/>
      <c r="M201" s="339"/>
      <c r="N201" s="339"/>
      <c r="O201" s="339"/>
      <c r="P201" s="339"/>
      <c r="Q201" s="339"/>
      <c r="R201" s="1236">
        <f t="shared" si="90"/>
        <v>0</v>
      </c>
      <c r="S201" s="1237">
        <f t="shared" si="91"/>
        <v>0</v>
      </c>
      <c r="T201" s="341"/>
      <c r="U201" s="381">
        <f t="shared" si="92"/>
        <v>0</v>
      </c>
      <c r="V201" s="342">
        <f t="shared" si="93"/>
        <v>0</v>
      </c>
      <c r="W201" s="342">
        <f t="shared" si="94"/>
        <v>0</v>
      </c>
      <c r="X201" s="342">
        <f t="shared" si="95"/>
        <v>0</v>
      </c>
      <c r="Y201" s="382">
        <f t="shared" si="96"/>
        <v>0</v>
      </c>
      <c r="Z201" s="343">
        <f t="shared" si="97"/>
        <v>0</v>
      </c>
      <c r="AA201" s="343">
        <f t="shared" si="98"/>
        <v>0</v>
      </c>
      <c r="AB201" s="343">
        <f t="shared" si="99"/>
        <v>0</v>
      </c>
      <c r="AC201" s="383">
        <f t="shared" si="100"/>
        <v>0</v>
      </c>
      <c r="AD201" s="344">
        <f t="shared" si="101"/>
        <v>0</v>
      </c>
      <c r="AE201" s="344">
        <f t="shared" si="102"/>
        <v>0</v>
      </c>
      <c r="AF201" s="344">
        <f t="shared" si="103"/>
        <v>0</v>
      </c>
      <c r="AG201" s="345">
        <f t="shared" si="104"/>
        <v>0</v>
      </c>
      <c r="AH201" s="345">
        <f t="shared" si="105"/>
        <v>0</v>
      </c>
      <c r="AI201" s="345">
        <f t="shared" si="106"/>
        <v>0</v>
      </c>
      <c r="AJ201" s="306">
        <f t="shared" si="107"/>
        <v>0</v>
      </c>
      <c r="AK201" s="306">
        <f t="shared" si="108"/>
        <v>0</v>
      </c>
      <c r="AL201" s="306">
        <f t="shared" si="109"/>
        <v>0</v>
      </c>
      <c r="AM201" s="749"/>
      <c r="AN201" s="763"/>
      <c r="AO201" s="780"/>
      <c r="AP201" s="898">
        <f t="shared" si="110"/>
        <v>0</v>
      </c>
      <c r="AQ201" s="900">
        <f t="shared" si="111"/>
        <v>0</v>
      </c>
      <c r="AR201" s="896">
        <f t="shared" si="112"/>
        <v>0</v>
      </c>
      <c r="AS201" s="780"/>
      <c r="AT201" s="780"/>
      <c r="AU201" s="780"/>
      <c r="AV201" s="780"/>
      <c r="AW201" s="780"/>
      <c r="AX201" s="780"/>
      <c r="AY201" s="780"/>
      <c r="AZ201" s="780"/>
      <c r="BA201" s="780"/>
      <c r="BG201" s="440"/>
    </row>
    <row r="202" spans="1:59" x14ac:dyDescent="0.2">
      <c r="A202" s="346"/>
      <c r="B202" s="347"/>
      <c r="C202" s="358"/>
      <c r="D202" s="349"/>
      <c r="E202" s="349"/>
      <c r="F202" s="350"/>
      <c r="G202" s="1211">
        <f t="shared" si="89"/>
        <v>0</v>
      </c>
      <c r="H202" s="339"/>
      <c r="I202" s="339"/>
      <c r="J202" s="339"/>
      <c r="K202" s="339"/>
      <c r="L202" s="339"/>
      <c r="M202" s="339"/>
      <c r="N202" s="339"/>
      <c r="O202" s="339"/>
      <c r="P202" s="339"/>
      <c r="Q202" s="339"/>
      <c r="R202" s="1236">
        <f t="shared" si="90"/>
        <v>0</v>
      </c>
      <c r="S202" s="1237">
        <f t="shared" si="91"/>
        <v>0</v>
      </c>
      <c r="T202" s="341"/>
      <c r="U202" s="381">
        <f t="shared" si="92"/>
        <v>0</v>
      </c>
      <c r="V202" s="342">
        <f t="shared" si="93"/>
        <v>0</v>
      </c>
      <c r="W202" s="342">
        <f t="shared" si="94"/>
        <v>0</v>
      </c>
      <c r="X202" s="342">
        <f t="shared" si="95"/>
        <v>0</v>
      </c>
      <c r="Y202" s="382">
        <f t="shared" si="96"/>
        <v>0</v>
      </c>
      <c r="Z202" s="343">
        <f t="shared" si="97"/>
        <v>0</v>
      </c>
      <c r="AA202" s="343">
        <f t="shared" si="98"/>
        <v>0</v>
      </c>
      <c r="AB202" s="343">
        <f t="shared" si="99"/>
        <v>0</v>
      </c>
      <c r="AC202" s="383">
        <f t="shared" si="100"/>
        <v>0</v>
      </c>
      <c r="AD202" s="344">
        <f t="shared" si="101"/>
        <v>0</v>
      </c>
      <c r="AE202" s="344">
        <f t="shared" si="102"/>
        <v>0</v>
      </c>
      <c r="AF202" s="344">
        <f t="shared" si="103"/>
        <v>0</v>
      </c>
      <c r="AG202" s="345">
        <f t="shared" si="104"/>
        <v>0</v>
      </c>
      <c r="AH202" s="345">
        <f t="shared" si="105"/>
        <v>0</v>
      </c>
      <c r="AI202" s="345">
        <f t="shared" si="106"/>
        <v>0</v>
      </c>
      <c r="AJ202" s="306">
        <f t="shared" si="107"/>
        <v>0</v>
      </c>
      <c r="AK202" s="306">
        <f t="shared" si="108"/>
        <v>0</v>
      </c>
      <c r="AL202" s="306">
        <f t="shared" si="109"/>
        <v>0</v>
      </c>
      <c r="AM202" s="749"/>
      <c r="AN202" s="763"/>
      <c r="AO202" s="780"/>
      <c r="AP202" s="898">
        <f t="shared" si="110"/>
        <v>0</v>
      </c>
      <c r="AQ202" s="900">
        <f t="shared" si="111"/>
        <v>0</v>
      </c>
      <c r="AR202" s="896">
        <f t="shared" si="112"/>
        <v>0</v>
      </c>
      <c r="AS202" s="780"/>
      <c r="AT202" s="780"/>
      <c r="AU202" s="780"/>
      <c r="AV202" s="780"/>
      <c r="AW202" s="780"/>
      <c r="AX202" s="780"/>
      <c r="AY202" s="780"/>
      <c r="AZ202" s="780"/>
      <c r="BA202" s="780"/>
      <c r="BG202" s="440"/>
    </row>
    <row r="203" spans="1:59" x14ac:dyDescent="0.2">
      <c r="A203" s="346"/>
      <c r="B203" s="347"/>
      <c r="C203" s="358"/>
      <c r="D203" s="349"/>
      <c r="E203" s="349"/>
      <c r="F203" s="350"/>
      <c r="G203" s="1211">
        <f t="shared" si="89"/>
        <v>0</v>
      </c>
      <c r="H203" s="339"/>
      <c r="I203" s="339"/>
      <c r="J203" s="339"/>
      <c r="K203" s="339"/>
      <c r="L203" s="339"/>
      <c r="M203" s="339"/>
      <c r="N203" s="339"/>
      <c r="O203" s="339"/>
      <c r="P203" s="339"/>
      <c r="Q203" s="339"/>
      <c r="R203" s="1236">
        <f t="shared" si="90"/>
        <v>0</v>
      </c>
      <c r="S203" s="1237">
        <f t="shared" si="91"/>
        <v>0</v>
      </c>
      <c r="T203" s="341"/>
      <c r="U203" s="381">
        <f t="shared" si="92"/>
        <v>0</v>
      </c>
      <c r="V203" s="342">
        <f t="shared" si="93"/>
        <v>0</v>
      </c>
      <c r="W203" s="342">
        <f t="shared" si="94"/>
        <v>0</v>
      </c>
      <c r="X203" s="342">
        <f t="shared" si="95"/>
        <v>0</v>
      </c>
      <c r="Y203" s="382">
        <f t="shared" si="96"/>
        <v>0</v>
      </c>
      <c r="Z203" s="343">
        <f t="shared" si="97"/>
        <v>0</v>
      </c>
      <c r="AA203" s="343">
        <f t="shared" si="98"/>
        <v>0</v>
      </c>
      <c r="AB203" s="343">
        <f t="shared" si="99"/>
        <v>0</v>
      </c>
      <c r="AC203" s="383">
        <f t="shared" si="100"/>
        <v>0</v>
      </c>
      <c r="AD203" s="344">
        <f t="shared" si="101"/>
        <v>0</v>
      </c>
      <c r="AE203" s="344">
        <f t="shared" si="102"/>
        <v>0</v>
      </c>
      <c r="AF203" s="344">
        <f t="shared" si="103"/>
        <v>0</v>
      </c>
      <c r="AG203" s="345">
        <f t="shared" si="104"/>
        <v>0</v>
      </c>
      <c r="AH203" s="345">
        <f t="shared" si="105"/>
        <v>0</v>
      </c>
      <c r="AI203" s="345">
        <f t="shared" si="106"/>
        <v>0</v>
      </c>
      <c r="AJ203" s="306">
        <f t="shared" si="107"/>
        <v>0</v>
      </c>
      <c r="AK203" s="306">
        <f t="shared" si="108"/>
        <v>0</v>
      </c>
      <c r="AL203" s="306">
        <f t="shared" si="109"/>
        <v>0</v>
      </c>
      <c r="AM203" s="749"/>
      <c r="AN203" s="763"/>
      <c r="AO203" s="780"/>
      <c r="AP203" s="898">
        <f t="shared" si="110"/>
        <v>0</v>
      </c>
      <c r="AQ203" s="900">
        <f t="shared" si="111"/>
        <v>0</v>
      </c>
      <c r="AR203" s="896">
        <f t="shared" si="112"/>
        <v>0</v>
      </c>
      <c r="AS203" s="780"/>
      <c r="AT203" s="780"/>
      <c r="AU203" s="780"/>
      <c r="AV203" s="780"/>
      <c r="AW203" s="780"/>
      <c r="AX203" s="780"/>
      <c r="AY203" s="780"/>
      <c r="AZ203" s="780"/>
      <c r="BA203" s="780"/>
      <c r="BG203" s="440"/>
    </row>
    <row r="204" spans="1:59" x14ac:dyDescent="0.2">
      <c r="A204" s="346"/>
      <c r="B204" s="347"/>
      <c r="C204" s="358"/>
      <c r="D204" s="349"/>
      <c r="E204" s="349"/>
      <c r="F204" s="350"/>
      <c r="G204" s="1211">
        <f t="shared" si="89"/>
        <v>0</v>
      </c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1236">
        <f t="shared" si="90"/>
        <v>0</v>
      </c>
      <c r="S204" s="1237">
        <f t="shared" si="91"/>
        <v>0</v>
      </c>
      <c r="T204" s="341"/>
      <c r="U204" s="381">
        <f t="shared" si="92"/>
        <v>0</v>
      </c>
      <c r="V204" s="342">
        <f t="shared" si="93"/>
        <v>0</v>
      </c>
      <c r="W204" s="342">
        <f t="shared" si="94"/>
        <v>0</v>
      </c>
      <c r="X204" s="342">
        <f t="shared" si="95"/>
        <v>0</v>
      </c>
      <c r="Y204" s="382">
        <f t="shared" si="96"/>
        <v>0</v>
      </c>
      <c r="Z204" s="343">
        <f t="shared" si="97"/>
        <v>0</v>
      </c>
      <c r="AA204" s="343">
        <f t="shared" si="98"/>
        <v>0</v>
      </c>
      <c r="AB204" s="343">
        <f t="shared" si="99"/>
        <v>0</v>
      </c>
      <c r="AC204" s="383">
        <f t="shared" si="100"/>
        <v>0</v>
      </c>
      <c r="AD204" s="344">
        <f t="shared" si="101"/>
        <v>0</v>
      </c>
      <c r="AE204" s="344">
        <f t="shared" si="102"/>
        <v>0</v>
      </c>
      <c r="AF204" s="344">
        <f t="shared" si="103"/>
        <v>0</v>
      </c>
      <c r="AG204" s="345">
        <f t="shared" si="104"/>
        <v>0</v>
      </c>
      <c r="AH204" s="345">
        <f t="shared" si="105"/>
        <v>0</v>
      </c>
      <c r="AI204" s="345">
        <f t="shared" si="106"/>
        <v>0</v>
      </c>
      <c r="AJ204" s="306">
        <f t="shared" si="107"/>
        <v>0</v>
      </c>
      <c r="AK204" s="306">
        <f t="shared" si="108"/>
        <v>0</v>
      </c>
      <c r="AL204" s="306">
        <f t="shared" si="109"/>
        <v>0</v>
      </c>
      <c r="AM204" s="749"/>
      <c r="AN204" s="763"/>
      <c r="AO204" s="780"/>
      <c r="AP204" s="898">
        <f t="shared" si="110"/>
        <v>0</v>
      </c>
      <c r="AQ204" s="900">
        <f t="shared" si="111"/>
        <v>0</v>
      </c>
      <c r="AR204" s="896">
        <f t="shared" si="112"/>
        <v>0</v>
      </c>
      <c r="AS204" s="780"/>
      <c r="AT204" s="780"/>
      <c r="AU204" s="780"/>
      <c r="AV204" s="780"/>
      <c r="AW204" s="780"/>
      <c r="AX204" s="780"/>
      <c r="AY204" s="780"/>
      <c r="AZ204" s="780"/>
      <c r="BA204" s="780"/>
      <c r="BG204" s="440"/>
    </row>
    <row r="205" spans="1:59" x14ac:dyDescent="0.2">
      <c r="A205" s="346"/>
      <c r="B205" s="347"/>
      <c r="C205" s="358"/>
      <c r="D205" s="349"/>
      <c r="E205" s="349"/>
      <c r="F205" s="350"/>
      <c r="G205" s="1211">
        <f t="shared" si="89"/>
        <v>0</v>
      </c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1236">
        <f t="shared" si="90"/>
        <v>0</v>
      </c>
      <c r="S205" s="1237">
        <f t="shared" si="91"/>
        <v>0</v>
      </c>
      <c r="T205" s="341"/>
      <c r="U205" s="381">
        <f t="shared" si="92"/>
        <v>0</v>
      </c>
      <c r="V205" s="342">
        <f t="shared" si="93"/>
        <v>0</v>
      </c>
      <c r="W205" s="342">
        <f t="shared" si="94"/>
        <v>0</v>
      </c>
      <c r="X205" s="342">
        <f t="shared" si="95"/>
        <v>0</v>
      </c>
      <c r="Y205" s="382">
        <f t="shared" si="96"/>
        <v>0</v>
      </c>
      <c r="Z205" s="343">
        <f t="shared" si="97"/>
        <v>0</v>
      </c>
      <c r="AA205" s="343">
        <f t="shared" si="98"/>
        <v>0</v>
      </c>
      <c r="AB205" s="343">
        <f t="shared" si="99"/>
        <v>0</v>
      </c>
      <c r="AC205" s="383">
        <f t="shared" si="100"/>
        <v>0</v>
      </c>
      <c r="AD205" s="344">
        <f t="shared" si="101"/>
        <v>0</v>
      </c>
      <c r="AE205" s="344">
        <f t="shared" si="102"/>
        <v>0</v>
      </c>
      <c r="AF205" s="344">
        <f t="shared" si="103"/>
        <v>0</v>
      </c>
      <c r="AG205" s="345">
        <f t="shared" si="104"/>
        <v>0</v>
      </c>
      <c r="AH205" s="345">
        <f t="shared" si="105"/>
        <v>0</v>
      </c>
      <c r="AI205" s="345">
        <f t="shared" si="106"/>
        <v>0</v>
      </c>
      <c r="AJ205" s="306">
        <f t="shared" si="107"/>
        <v>0</v>
      </c>
      <c r="AK205" s="306">
        <f t="shared" si="108"/>
        <v>0</v>
      </c>
      <c r="AL205" s="306">
        <f t="shared" si="109"/>
        <v>0</v>
      </c>
      <c r="AM205" s="749"/>
      <c r="AN205" s="763"/>
      <c r="AO205" s="780"/>
      <c r="AP205" s="898">
        <f t="shared" si="110"/>
        <v>0</v>
      </c>
      <c r="AQ205" s="900">
        <f t="shared" si="111"/>
        <v>0</v>
      </c>
      <c r="AR205" s="896">
        <f t="shared" si="112"/>
        <v>0</v>
      </c>
      <c r="AS205" s="780"/>
      <c r="AT205" s="780"/>
      <c r="AU205" s="780"/>
      <c r="AV205" s="780"/>
      <c r="AW205" s="780"/>
      <c r="AX205" s="780"/>
      <c r="AY205" s="780"/>
      <c r="AZ205" s="780"/>
      <c r="BA205" s="780"/>
      <c r="BG205" s="440"/>
    </row>
    <row r="206" spans="1:59" x14ac:dyDescent="0.2">
      <c r="A206" s="346"/>
      <c r="B206" s="347"/>
      <c r="C206" s="358"/>
      <c r="D206" s="349"/>
      <c r="E206" s="349"/>
      <c r="F206" s="350"/>
      <c r="G206" s="1211">
        <f t="shared" si="89"/>
        <v>0</v>
      </c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1236">
        <f t="shared" si="90"/>
        <v>0</v>
      </c>
      <c r="S206" s="1237">
        <f t="shared" si="91"/>
        <v>0</v>
      </c>
      <c r="T206" s="341"/>
      <c r="U206" s="381">
        <f t="shared" si="92"/>
        <v>0</v>
      </c>
      <c r="V206" s="342">
        <f t="shared" si="93"/>
        <v>0</v>
      </c>
      <c r="W206" s="342">
        <f t="shared" si="94"/>
        <v>0</v>
      </c>
      <c r="X206" s="342">
        <f t="shared" si="95"/>
        <v>0</v>
      </c>
      <c r="Y206" s="382">
        <f t="shared" si="96"/>
        <v>0</v>
      </c>
      <c r="Z206" s="343">
        <f t="shared" si="97"/>
        <v>0</v>
      </c>
      <c r="AA206" s="343">
        <f t="shared" si="98"/>
        <v>0</v>
      </c>
      <c r="AB206" s="343">
        <f t="shared" si="99"/>
        <v>0</v>
      </c>
      <c r="AC206" s="383">
        <f t="shared" si="100"/>
        <v>0</v>
      </c>
      <c r="AD206" s="344">
        <f t="shared" si="101"/>
        <v>0</v>
      </c>
      <c r="AE206" s="344">
        <f t="shared" si="102"/>
        <v>0</v>
      </c>
      <c r="AF206" s="344">
        <f t="shared" si="103"/>
        <v>0</v>
      </c>
      <c r="AG206" s="345">
        <f t="shared" si="104"/>
        <v>0</v>
      </c>
      <c r="AH206" s="345">
        <f t="shared" si="105"/>
        <v>0</v>
      </c>
      <c r="AI206" s="345">
        <f t="shared" si="106"/>
        <v>0</v>
      </c>
      <c r="AJ206" s="306">
        <f t="shared" si="107"/>
        <v>0</v>
      </c>
      <c r="AK206" s="306">
        <f t="shared" si="108"/>
        <v>0</v>
      </c>
      <c r="AL206" s="306">
        <f t="shared" si="109"/>
        <v>0</v>
      </c>
      <c r="AM206" s="749"/>
      <c r="AN206" s="763"/>
      <c r="AO206" s="780"/>
      <c r="AP206" s="898">
        <f t="shared" si="110"/>
        <v>0</v>
      </c>
      <c r="AQ206" s="900">
        <f t="shared" si="111"/>
        <v>0</v>
      </c>
      <c r="AR206" s="896">
        <f t="shared" si="112"/>
        <v>0</v>
      </c>
      <c r="AS206" s="780"/>
      <c r="AT206" s="780"/>
      <c r="AU206" s="780"/>
      <c r="AV206" s="780"/>
      <c r="AW206" s="780"/>
      <c r="AX206" s="780"/>
      <c r="AY206" s="780"/>
      <c r="AZ206" s="780"/>
      <c r="BA206" s="780"/>
      <c r="BG206" s="440"/>
    </row>
    <row r="207" spans="1:59" x14ac:dyDescent="0.2">
      <c r="A207" s="346"/>
      <c r="B207" s="347"/>
      <c r="C207" s="358"/>
      <c r="D207" s="349"/>
      <c r="E207" s="349"/>
      <c r="F207" s="350"/>
      <c r="G207" s="1211">
        <f t="shared" si="89"/>
        <v>0</v>
      </c>
      <c r="H207" s="339"/>
      <c r="I207" s="339"/>
      <c r="J207" s="339"/>
      <c r="K207" s="339"/>
      <c r="L207" s="339"/>
      <c r="M207" s="339"/>
      <c r="N207" s="339"/>
      <c r="O207" s="339"/>
      <c r="P207" s="339"/>
      <c r="Q207" s="339"/>
      <c r="R207" s="1236">
        <f t="shared" si="90"/>
        <v>0</v>
      </c>
      <c r="S207" s="1237">
        <f t="shared" si="91"/>
        <v>0</v>
      </c>
      <c r="T207" s="341"/>
      <c r="U207" s="381">
        <f t="shared" si="92"/>
        <v>0</v>
      </c>
      <c r="V207" s="342">
        <f t="shared" si="93"/>
        <v>0</v>
      </c>
      <c r="W207" s="342">
        <f t="shared" si="94"/>
        <v>0</v>
      </c>
      <c r="X207" s="342">
        <f t="shared" si="95"/>
        <v>0</v>
      </c>
      <c r="Y207" s="382">
        <f t="shared" si="96"/>
        <v>0</v>
      </c>
      <c r="Z207" s="343">
        <f t="shared" si="97"/>
        <v>0</v>
      </c>
      <c r="AA207" s="343">
        <f t="shared" si="98"/>
        <v>0</v>
      </c>
      <c r="AB207" s="343">
        <f t="shared" si="99"/>
        <v>0</v>
      </c>
      <c r="AC207" s="383">
        <f t="shared" si="100"/>
        <v>0</v>
      </c>
      <c r="AD207" s="344">
        <f t="shared" si="101"/>
        <v>0</v>
      </c>
      <c r="AE207" s="344">
        <f t="shared" si="102"/>
        <v>0</v>
      </c>
      <c r="AF207" s="344">
        <f t="shared" si="103"/>
        <v>0</v>
      </c>
      <c r="AG207" s="345">
        <f t="shared" si="104"/>
        <v>0</v>
      </c>
      <c r="AH207" s="345">
        <f t="shared" si="105"/>
        <v>0</v>
      </c>
      <c r="AI207" s="345">
        <f t="shared" si="106"/>
        <v>0</v>
      </c>
      <c r="AJ207" s="306">
        <f t="shared" si="107"/>
        <v>0</v>
      </c>
      <c r="AK207" s="306">
        <f t="shared" si="108"/>
        <v>0</v>
      </c>
      <c r="AL207" s="306">
        <f t="shared" si="109"/>
        <v>0</v>
      </c>
      <c r="AM207" s="749"/>
      <c r="AN207" s="763"/>
      <c r="AO207" s="780"/>
      <c r="AP207" s="898">
        <f t="shared" si="110"/>
        <v>0</v>
      </c>
      <c r="AQ207" s="900">
        <f t="shared" si="111"/>
        <v>0</v>
      </c>
      <c r="AR207" s="896">
        <f t="shared" si="112"/>
        <v>0</v>
      </c>
      <c r="AS207" s="780"/>
      <c r="AT207" s="780"/>
      <c r="AU207" s="780"/>
      <c r="AV207" s="780"/>
      <c r="AW207" s="780"/>
      <c r="AX207" s="780"/>
      <c r="AY207" s="780"/>
      <c r="AZ207" s="780"/>
      <c r="BA207" s="780"/>
      <c r="BG207" s="440"/>
    </row>
    <row r="208" spans="1:59" x14ac:dyDescent="0.2">
      <c r="A208" s="346"/>
      <c r="B208" s="347"/>
      <c r="C208" s="358"/>
      <c r="D208" s="349"/>
      <c r="E208" s="349"/>
      <c r="F208" s="350"/>
      <c r="G208" s="1211">
        <f t="shared" si="89"/>
        <v>0</v>
      </c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1236">
        <f t="shared" si="90"/>
        <v>0</v>
      </c>
      <c r="S208" s="1237">
        <f t="shared" si="91"/>
        <v>0</v>
      </c>
      <c r="T208" s="341"/>
      <c r="U208" s="381">
        <f t="shared" si="92"/>
        <v>0</v>
      </c>
      <c r="V208" s="342">
        <f t="shared" si="93"/>
        <v>0</v>
      </c>
      <c r="W208" s="342">
        <f t="shared" si="94"/>
        <v>0</v>
      </c>
      <c r="X208" s="342">
        <f t="shared" si="95"/>
        <v>0</v>
      </c>
      <c r="Y208" s="382">
        <f t="shared" si="96"/>
        <v>0</v>
      </c>
      <c r="Z208" s="343">
        <f t="shared" si="97"/>
        <v>0</v>
      </c>
      <c r="AA208" s="343">
        <f t="shared" si="98"/>
        <v>0</v>
      </c>
      <c r="AB208" s="343">
        <f t="shared" si="99"/>
        <v>0</v>
      </c>
      <c r="AC208" s="383">
        <f t="shared" si="100"/>
        <v>0</v>
      </c>
      <c r="AD208" s="344">
        <f t="shared" si="101"/>
        <v>0</v>
      </c>
      <c r="AE208" s="344">
        <f t="shared" si="102"/>
        <v>0</v>
      </c>
      <c r="AF208" s="344">
        <f t="shared" si="103"/>
        <v>0</v>
      </c>
      <c r="AG208" s="345">
        <f t="shared" si="104"/>
        <v>0</v>
      </c>
      <c r="AH208" s="345">
        <f t="shared" si="105"/>
        <v>0</v>
      </c>
      <c r="AI208" s="345">
        <f t="shared" si="106"/>
        <v>0</v>
      </c>
      <c r="AJ208" s="306">
        <f t="shared" si="107"/>
        <v>0</v>
      </c>
      <c r="AK208" s="306">
        <f t="shared" si="108"/>
        <v>0</v>
      </c>
      <c r="AL208" s="306">
        <f t="shared" si="109"/>
        <v>0</v>
      </c>
      <c r="AM208" s="749"/>
      <c r="AN208" s="763"/>
      <c r="AO208" s="780"/>
      <c r="AP208" s="898">
        <f t="shared" si="110"/>
        <v>0</v>
      </c>
      <c r="AQ208" s="900">
        <f t="shared" si="111"/>
        <v>0</v>
      </c>
      <c r="AR208" s="896">
        <f t="shared" si="112"/>
        <v>0</v>
      </c>
      <c r="AS208" s="780"/>
      <c r="AT208" s="780"/>
      <c r="AU208" s="780"/>
      <c r="AV208" s="780"/>
      <c r="AW208" s="780"/>
      <c r="AX208" s="780"/>
      <c r="AY208" s="780"/>
      <c r="AZ208" s="780"/>
      <c r="BA208" s="780"/>
      <c r="BG208" s="440"/>
    </row>
    <row r="209" spans="1:59" x14ac:dyDescent="0.2">
      <c r="A209" s="346"/>
      <c r="B209" s="347"/>
      <c r="C209" s="358"/>
      <c r="D209" s="349"/>
      <c r="E209" s="349"/>
      <c r="F209" s="350"/>
      <c r="G209" s="1211">
        <f t="shared" si="89"/>
        <v>0</v>
      </c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1236">
        <f t="shared" si="90"/>
        <v>0</v>
      </c>
      <c r="S209" s="1237">
        <f t="shared" si="91"/>
        <v>0</v>
      </c>
      <c r="T209" s="341"/>
      <c r="U209" s="381">
        <f t="shared" si="92"/>
        <v>0</v>
      </c>
      <c r="V209" s="342">
        <f t="shared" si="93"/>
        <v>0</v>
      </c>
      <c r="W209" s="342">
        <f t="shared" si="94"/>
        <v>0</v>
      </c>
      <c r="X209" s="342">
        <f t="shared" si="95"/>
        <v>0</v>
      </c>
      <c r="Y209" s="382">
        <f t="shared" si="96"/>
        <v>0</v>
      </c>
      <c r="Z209" s="343">
        <f t="shared" si="97"/>
        <v>0</v>
      </c>
      <c r="AA209" s="343">
        <f t="shared" si="98"/>
        <v>0</v>
      </c>
      <c r="AB209" s="343">
        <f t="shared" si="99"/>
        <v>0</v>
      </c>
      <c r="AC209" s="383">
        <f t="shared" si="100"/>
        <v>0</v>
      </c>
      <c r="AD209" s="344">
        <f t="shared" si="101"/>
        <v>0</v>
      </c>
      <c r="AE209" s="344">
        <f t="shared" si="102"/>
        <v>0</v>
      </c>
      <c r="AF209" s="344">
        <f t="shared" si="103"/>
        <v>0</v>
      </c>
      <c r="AG209" s="345">
        <f t="shared" si="104"/>
        <v>0</v>
      </c>
      <c r="AH209" s="345">
        <f t="shared" si="105"/>
        <v>0</v>
      </c>
      <c r="AI209" s="345">
        <f t="shared" si="106"/>
        <v>0</v>
      </c>
      <c r="AJ209" s="306">
        <f t="shared" si="107"/>
        <v>0</v>
      </c>
      <c r="AK209" s="306">
        <f t="shared" si="108"/>
        <v>0</v>
      </c>
      <c r="AL209" s="306">
        <f t="shared" si="109"/>
        <v>0</v>
      </c>
      <c r="AM209" s="749"/>
      <c r="AN209" s="763"/>
      <c r="AO209" s="780"/>
      <c r="AP209" s="898">
        <f t="shared" si="110"/>
        <v>0</v>
      </c>
      <c r="AQ209" s="900">
        <f t="shared" si="111"/>
        <v>0</v>
      </c>
      <c r="AR209" s="896">
        <f t="shared" si="112"/>
        <v>0</v>
      </c>
      <c r="AS209" s="780"/>
      <c r="AT209" s="780"/>
      <c r="AU209" s="780"/>
      <c r="AV209" s="780"/>
      <c r="AW209" s="780"/>
      <c r="AX209" s="780"/>
      <c r="AY209" s="780"/>
      <c r="AZ209" s="780"/>
      <c r="BA209" s="780"/>
      <c r="BG209" s="440"/>
    </row>
    <row r="210" spans="1:59" x14ac:dyDescent="0.2">
      <c r="A210" s="346"/>
      <c r="B210" s="347"/>
      <c r="C210" s="358"/>
      <c r="D210" s="349"/>
      <c r="E210" s="349"/>
      <c r="F210" s="350"/>
      <c r="G210" s="1211">
        <f t="shared" si="89"/>
        <v>0</v>
      </c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1236">
        <f t="shared" si="90"/>
        <v>0</v>
      </c>
      <c r="S210" s="1237">
        <f t="shared" si="91"/>
        <v>0</v>
      </c>
      <c r="T210" s="341"/>
      <c r="U210" s="381">
        <f t="shared" si="92"/>
        <v>0</v>
      </c>
      <c r="V210" s="342">
        <f t="shared" si="93"/>
        <v>0</v>
      </c>
      <c r="W210" s="342">
        <f t="shared" si="94"/>
        <v>0</v>
      </c>
      <c r="X210" s="342">
        <f t="shared" si="95"/>
        <v>0</v>
      </c>
      <c r="Y210" s="382">
        <f t="shared" si="96"/>
        <v>0</v>
      </c>
      <c r="Z210" s="343">
        <f t="shared" si="97"/>
        <v>0</v>
      </c>
      <c r="AA210" s="343">
        <f t="shared" si="98"/>
        <v>0</v>
      </c>
      <c r="AB210" s="343">
        <f t="shared" si="99"/>
        <v>0</v>
      </c>
      <c r="AC210" s="383">
        <f t="shared" si="100"/>
        <v>0</v>
      </c>
      <c r="AD210" s="344">
        <f t="shared" si="101"/>
        <v>0</v>
      </c>
      <c r="AE210" s="344">
        <f t="shared" si="102"/>
        <v>0</v>
      </c>
      <c r="AF210" s="344">
        <f t="shared" si="103"/>
        <v>0</v>
      </c>
      <c r="AG210" s="345">
        <f t="shared" si="104"/>
        <v>0</v>
      </c>
      <c r="AH210" s="345">
        <f t="shared" si="105"/>
        <v>0</v>
      </c>
      <c r="AI210" s="345">
        <f t="shared" si="106"/>
        <v>0</v>
      </c>
      <c r="AJ210" s="306">
        <f t="shared" si="107"/>
        <v>0</v>
      </c>
      <c r="AK210" s="306">
        <f t="shared" si="108"/>
        <v>0</v>
      </c>
      <c r="AL210" s="306">
        <f t="shared" si="109"/>
        <v>0</v>
      </c>
      <c r="AM210" s="749"/>
      <c r="AN210" s="763"/>
      <c r="AO210" s="780"/>
      <c r="AP210" s="898">
        <f t="shared" si="110"/>
        <v>0</v>
      </c>
      <c r="AQ210" s="900">
        <f t="shared" si="111"/>
        <v>0</v>
      </c>
      <c r="AR210" s="896">
        <f t="shared" si="112"/>
        <v>0</v>
      </c>
      <c r="AS210" s="780"/>
      <c r="AT210" s="780"/>
      <c r="AU210" s="780"/>
      <c r="AV210" s="780"/>
      <c r="AW210" s="780"/>
      <c r="AX210" s="780"/>
      <c r="AY210" s="780"/>
      <c r="AZ210" s="780"/>
      <c r="BA210" s="780"/>
      <c r="BG210" s="440"/>
    </row>
    <row r="211" spans="1:59" x14ac:dyDescent="0.2">
      <c r="A211" s="346"/>
      <c r="B211" s="347"/>
      <c r="C211" s="358"/>
      <c r="D211" s="349"/>
      <c r="E211" s="349"/>
      <c r="F211" s="350"/>
      <c r="G211" s="1211">
        <f t="shared" si="89"/>
        <v>0</v>
      </c>
      <c r="H211" s="339"/>
      <c r="I211" s="339"/>
      <c r="J211" s="339"/>
      <c r="K211" s="339"/>
      <c r="L211" s="339"/>
      <c r="M211" s="339"/>
      <c r="N211" s="339"/>
      <c r="O211" s="339"/>
      <c r="P211" s="339"/>
      <c r="Q211" s="339"/>
      <c r="R211" s="1236">
        <f t="shared" si="90"/>
        <v>0</v>
      </c>
      <c r="S211" s="1237">
        <f t="shared" si="91"/>
        <v>0</v>
      </c>
      <c r="T211" s="341"/>
      <c r="U211" s="381">
        <f t="shared" si="92"/>
        <v>0</v>
      </c>
      <c r="V211" s="342">
        <f t="shared" si="93"/>
        <v>0</v>
      </c>
      <c r="W211" s="342">
        <f t="shared" si="94"/>
        <v>0</v>
      </c>
      <c r="X211" s="342">
        <f t="shared" si="95"/>
        <v>0</v>
      </c>
      <c r="Y211" s="382">
        <f t="shared" si="96"/>
        <v>0</v>
      </c>
      <c r="Z211" s="343">
        <f t="shared" si="97"/>
        <v>0</v>
      </c>
      <c r="AA211" s="343">
        <f t="shared" si="98"/>
        <v>0</v>
      </c>
      <c r="AB211" s="343">
        <f t="shared" si="99"/>
        <v>0</v>
      </c>
      <c r="AC211" s="383">
        <f t="shared" si="100"/>
        <v>0</v>
      </c>
      <c r="AD211" s="344">
        <f t="shared" si="101"/>
        <v>0</v>
      </c>
      <c r="AE211" s="344">
        <f t="shared" si="102"/>
        <v>0</v>
      </c>
      <c r="AF211" s="344">
        <f t="shared" si="103"/>
        <v>0</v>
      </c>
      <c r="AG211" s="345">
        <f t="shared" si="104"/>
        <v>0</v>
      </c>
      <c r="AH211" s="345">
        <f t="shared" si="105"/>
        <v>0</v>
      </c>
      <c r="AI211" s="345">
        <f t="shared" si="106"/>
        <v>0</v>
      </c>
      <c r="AJ211" s="306">
        <f t="shared" si="107"/>
        <v>0</v>
      </c>
      <c r="AK211" s="306">
        <f t="shared" si="108"/>
        <v>0</v>
      </c>
      <c r="AL211" s="306">
        <f t="shared" si="109"/>
        <v>0</v>
      </c>
      <c r="AM211" s="749"/>
      <c r="AN211" s="763"/>
      <c r="AO211" s="780"/>
      <c r="AP211" s="898">
        <f t="shared" si="110"/>
        <v>0</v>
      </c>
      <c r="AQ211" s="900">
        <f t="shared" si="111"/>
        <v>0</v>
      </c>
      <c r="AR211" s="896">
        <f t="shared" si="112"/>
        <v>0</v>
      </c>
      <c r="AS211" s="780"/>
      <c r="AT211" s="780"/>
      <c r="AU211" s="780"/>
      <c r="AV211" s="780"/>
      <c r="AW211" s="780"/>
      <c r="AX211" s="780"/>
      <c r="AY211" s="780"/>
      <c r="AZ211" s="780"/>
      <c r="BA211" s="780"/>
      <c r="BG211" s="440"/>
    </row>
    <row r="212" spans="1:59" x14ac:dyDescent="0.2">
      <c r="A212" s="346"/>
      <c r="B212" s="347"/>
      <c r="C212" s="358"/>
      <c r="D212" s="349"/>
      <c r="E212" s="349"/>
      <c r="F212" s="350"/>
      <c r="G212" s="1211">
        <f t="shared" si="89"/>
        <v>0</v>
      </c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1236">
        <f t="shared" si="90"/>
        <v>0</v>
      </c>
      <c r="S212" s="1237">
        <f t="shared" si="91"/>
        <v>0</v>
      </c>
      <c r="T212" s="341"/>
      <c r="U212" s="381">
        <f t="shared" si="92"/>
        <v>0</v>
      </c>
      <c r="V212" s="342">
        <f t="shared" si="93"/>
        <v>0</v>
      </c>
      <c r="W212" s="342">
        <f t="shared" si="94"/>
        <v>0</v>
      </c>
      <c r="X212" s="342">
        <f t="shared" si="95"/>
        <v>0</v>
      </c>
      <c r="Y212" s="382">
        <f t="shared" si="96"/>
        <v>0</v>
      </c>
      <c r="Z212" s="343">
        <f t="shared" si="97"/>
        <v>0</v>
      </c>
      <c r="AA212" s="343">
        <f t="shared" si="98"/>
        <v>0</v>
      </c>
      <c r="AB212" s="343">
        <f t="shared" si="99"/>
        <v>0</v>
      </c>
      <c r="AC212" s="383">
        <f t="shared" si="100"/>
        <v>0</v>
      </c>
      <c r="AD212" s="344">
        <f t="shared" si="101"/>
        <v>0</v>
      </c>
      <c r="AE212" s="344">
        <f t="shared" si="102"/>
        <v>0</v>
      </c>
      <c r="AF212" s="344">
        <f t="shared" si="103"/>
        <v>0</v>
      </c>
      <c r="AG212" s="345">
        <f t="shared" si="104"/>
        <v>0</v>
      </c>
      <c r="AH212" s="345">
        <f t="shared" si="105"/>
        <v>0</v>
      </c>
      <c r="AI212" s="345">
        <f t="shared" si="106"/>
        <v>0</v>
      </c>
      <c r="AJ212" s="306">
        <f t="shared" si="107"/>
        <v>0</v>
      </c>
      <c r="AK212" s="306">
        <f t="shared" si="108"/>
        <v>0</v>
      </c>
      <c r="AL212" s="306">
        <f t="shared" si="109"/>
        <v>0</v>
      </c>
      <c r="AM212" s="749"/>
      <c r="AN212" s="763"/>
      <c r="AO212" s="780"/>
      <c r="AP212" s="898">
        <f t="shared" si="110"/>
        <v>0</v>
      </c>
      <c r="AQ212" s="900">
        <f t="shared" si="111"/>
        <v>0</v>
      </c>
      <c r="AR212" s="896">
        <f t="shared" si="112"/>
        <v>0</v>
      </c>
      <c r="AS212" s="780"/>
      <c r="AT212" s="780"/>
      <c r="AU212" s="780"/>
      <c r="AV212" s="780"/>
      <c r="AW212" s="780"/>
      <c r="AX212" s="780"/>
      <c r="AY212" s="780"/>
      <c r="AZ212" s="780"/>
      <c r="BA212" s="780"/>
      <c r="BG212" s="440"/>
    </row>
    <row r="213" spans="1:59" x14ac:dyDescent="0.2">
      <c r="A213" s="346"/>
      <c r="B213" s="347"/>
      <c r="C213" s="358"/>
      <c r="D213" s="349"/>
      <c r="E213" s="349"/>
      <c r="F213" s="350"/>
      <c r="G213" s="1211">
        <f t="shared" si="89"/>
        <v>0</v>
      </c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  <c r="R213" s="1236">
        <f t="shared" si="90"/>
        <v>0</v>
      </c>
      <c r="S213" s="1237">
        <f t="shared" si="91"/>
        <v>0</v>
      </c>
      <c r="T213" s="341"/>
      <c r="U213" s="381">
        <f t="shared" si="92"/>
        <v>0</v>
      </c>
      <c r="V213" s="342">
        <f t="shared" si="93"/>
        <v>0</v>
      </c>
      <c r="W213" s="342">
        <f t="shared" si="94"/>
        <v>0</v>
      </c>
      <c r="X213" s="342">
        <f t="shared" si="95"/>
        <v>0</v>
      </c>
      <c r="Y213" s="382">
        <f t="shared" si="96"/>
        <v>0</v>
      </c>
      <c r="Z213" s="343">
        <f t="shared" si="97"/>
        <v>0</v>
      </c>
      <c r="AA213" s="343">
        <f t="shared" si="98"/>
        <v>0</v>
      </c>
      <c r="AB213" s="343">
        <f t="shared" si="99"/>
        <v>0</v>
      </c>
      <c r="AC213" s="383">
        <f t="shared" si="100"/>
        <v>0</v>
      </c>
      <c r="AD213" s="344">
        <f t="shared" si="101"/>
        <v>0</v>
      </c>
      <c r="AE213" s="344">
        <f t="shared" si="102"/>
        <v>0</v>
      </c>
      <c r="AF213" s="344">
        <f t="shared" si="103"/>
        <v>0</v>
      </c>
      <c r="AG213" s="345">
        <f t="shared" si="104"/>
        <v>0</v>
      </c>
      <c r="AH213" s="345">
        <f t="shared" si="105"/>
        <v>0</v>
      </c>
      <c r="AI213" s="345">
        <f t="shared" si="106"/>
        <v>0</v>
      </c>
      <c r="AJ213" s="306">
        <f t="shared" si="107"/>
        <v>0</v>
      </c>
      <c r="AK213" s="306">
        <f t="shared" si="108"/>
        <v>0</v>
      </c>
      <c r="AL213" s="306">
        <f t="shared" si="109"/>
        <v>0</v>
      </c>
      <c r="AM213" s="749"/>
      <c r="AN213" s="763"/>
      <c r="AO213" s="780"/>
      <c r="AP213" s="898">
        <f t="shared" si="110"/>
        <v>0</v>
      </c>
      <c r="AQ213" s="900">
        <f t="shared" si="111"/>
        <v>0</v>
      </c>
      <c r="AR213" s="896">
        <f t="shared" si="112"/>
        <v>0</v>
      </c>
      <c r="AS213" s="780"/>
      <c r="AT213" s="780"/>
      <c r="AU213" s="780"/>
      <c r="AV213" s="780"/>
      <c r="AW213" s="780"/>
      <c r="AX213" s="780"/>
      <c r="AY213" s="780"/>
      <c r="AZ213" s="780"/>
      <c r="BA213" s="780"/>
      <c r="BG213" s="440"/>
    </row>
    <row r="214" spans="1:59" x14ac:dyDescent="0.2">
      <c r="A214" s="346"/>
      <c r="B214" s="347"/>
      <c r="C214" s="358"/>
      <c r="D214" s="349"/>
      <c r="E214" s="349"/>
      <c r="F214" s="350"/>
      <c r="G214" s="1211">
        <f t="shared" si="89"/>
        <v>0</v>
      </c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1236">
        <f t="shared" si="90"/>
        <v>0</v>
      </c>
      <c r="S214" s="1237">
        <f t="shared" si="91"/>
        <v>0</v>
      </c>
      <c r="T214" s="341"/>
      <c r="U214" s="381">
        <f t="shared" si="92"/>
        <v>0</v>
      </c>
      <c r="V214" s="342">
        <f t="shared" si="93"/>
        <v>0</v>
      </c>
      <c r="W214" s="342">
        <f t="shared" si="94"/>
        <v>0</v>
      </c>
      <c r="X214" s="342">
        <f t="shared" si="95"/>
        <v>0</v>
      </c>
      <c r="Y214" s="382">
        <f t="shared" si="96"/>
        <v>0</v>
      </c>
      <c r="Z214" s="343">
        <f t="shared" si="97"/>
        <v>0</v>
      </c>
      <c r="AA214" s="343">
        <f t="shared" si="98"/>
        <v>0</v>
      </c>
      <c r="AB214" s="343">
        <f t="shared" si="99"/>
        <v>0</v>
      </c>
      <c r="AC214" s="383">
        <f t="shared" si="100"/>
        <v>0</v>
      </c>
      <c r="AD214" s="344">
        <f t="shared" si="101"/>
        <v>0</v>
      </c>
      <c r="AE214" s="344">
        <f t="shared" si="102"/>
        <v>0</v>
      </c>
      <c r="AF214" s="344">
        <f t="shared" si="103"/>
        <v>0</v>
      </c>
      <c r="AG214" s="345">
        <f t="shared" si="104"/>
        <v>0</v>
      </c>
      <c r="AH214" s="345">
        <f t="shared" si="105"/>
        <v>0</v>
      </c>
      <c r="AI214" s="345">
        <f t="shared" si="106"/>
        <v>0</v>
      </c>
      <c r="AJ214" s="306">
        <f t="shared" si="107"/>
        <v>0</v>
      </c>
      <c r="AK214" s="306">
        <f t="shared" si="108"/>
        <v>0</v>
      </c>
      <c r="AL214" s="306">
        <f t="shared" si="109"/>
        <v>0</v>
      </c>
      <c r="AM214" s="749"/>
      <c r="AN214" s="763"/>
      <c r="AO214" s="780"/>
      <c r="AP214" s="898">
        <f t="shared" si="110"/>
        <v>0</v>
      </c>
      <c r="AQ214" s="900">
        <f t="shared" si="111"/>
        <v>0</v>
      </c>
      <c r="AR214" s="896">
        <f t="shared" si="112"/>
        <v>0</v>
      </c>
      <c r="AS214" s="780"/>
      <c r="AT214" s="780"/>
      <c r="AU214" s="780"/>
      <c r="AV214" s="780"/>
      <c r="AW214" s="780"/>
      <c r="AX214" s="780"/>
      <c r="AY214" s="780"/>
      <c r="AZ214" s="780"/>
      <c r="BA214" s="780"/>
      <c r="BG214" s="440"/>
    </row>
    <row r="215" spans="1:59" x14ac:dyDescent="0.2">
      <c r="A215" s="346"/>
      <c r="B215" s="347"/>
      <c r="C215" s="358"/>
      <c r="D215" s="349"/>
      <c r="E215" s="349"/>
      <c r="F215" s="350"/>
      <c r="G215" s="1211">
        <f t="shared" si="89"/>
        <v>0</v>
      </c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1236">
        <f t="shared" si="90"/>
        <v>0</v>
      </c>
      <c r="S215" s="1237">
        <f t="shared" si="91"/>
        <v>0</v>
      </c>
      <c r="T215" s="341"/>
      <c r="U215" s="381">
        <f t="shared" si="92"/>
        <v>0</v>
      </c>
      <c r="V215" s="342">
        <f t="shared" si="93"/>
        <v>0</v>
      </c>
      <c r="W215" s="342">
        <f t="shared" si="94"/>
        <v>0</v>
      </c>
      <c r="X215" s="342">
        <f t="shared" si="95"/>
        <v>0</v>
      </c>
      <c r="Y215" s="382">
        <f t="shared" si="96"/>
        <v>0</v>
      </c>
      <c r="Z215" s="343">
        <f t="shared" si="97"/>
        <v>0</v>
      </c>
      <c r="AA215" s="343">
        <f t="shared" si="98"/>
        <v>0</v>
      </c>
      <c r="AB215" s="343">
        <f t="shared" si="99"/>
        <v>0</v>
      </c>
      <c r="AC215" s="383">
        <f t="shared" si="100"/>
        <v>0</v>
      </c>
      <c r="AD215" s="344">
        <f t="shared" si="101"/>
        <v>0</v>
      </c>
      <c r="AE215" s="344">
        <f t="shared" si="102"/>
        <v>0</v>
      </c>
      <c r="AF215" s="344">
        <f t="shared" si="103"/>
        <v>0</v>
      </c>
      <c r="AG215" s="345">
        <f t="shared" si="104"/>
        <v>0</v>
      </c>
      <c r="AH215" s="345">
        <f t="shared" si="105"/>
        <v>0</v>
      </c>
      <c r="AI215" s="345">
        <f t="shared" si="106"/>
        <v>0</v>
      </c>
      <c r="AJ215" s="306">
        <f t="shared" si="107"/>
        <v>0</v>
      </c>
      <c r="AK215" s="306">
        <f t="shared" si="108"/>
        <v>0</v>
      </c>
      <c r="AL215" s="306">
        <f t="shared" si="109"/>
        <v>0</v>
      </c>
      <c r="AM215" s="749"/>
      <c r="AN215" s="763"/>
      <c r="AO215" s="780"/>
      <c r="AP215" s="898">
        <f t="shared" si="110"/>
        <v>0</v>
      </c>
      <c r="AQ215" s="900">
        <f t="shared" si="111"/>
        <v>0</v>
      </c>
      <c r="AR215" s="896">
        <f t="shared" si="112"/>
        <v>0</v>
      </c>
      <c r="AS215" s="780"/>
      <c r="AT215" s="780"/>
      <c r="AU215" s="780"/>
      <c r="AV215" s="780"/>
      <c r="AW215" s="780"/>
      <c r="AX215" s="780"/>
      <c r="AY215" s="780"/>
      <c r="AZ215" s="780"/>
      <c r="BA215" s="780"/>
      <c r="BG215" s="440"/>
    </row>
    <row r="216" spans="1:59" x14ac:dyDescent="0.2">
      <c r="A216" s="346"/>
      <c r="B216" s="347"/>
      <c r="C216" s="358"/>
      <c r="D216" s="349"/>
      <c r="E216" s="349"/>
      <c r="F216" s="350"/>
      <c r="G216" s="1211">
        <f t="shared" si="89"/>
        <v>0</v>
      </c>
      <c r="H216" s="339"/>
      <c r="I216" s="339"/>
      <c r="J216" s="339"/>
      <c r="K216" s="339"/>
      <c r="L216" s="339"/>
      <c r="M216" s="339"/>
      <c r="N216" s="339"/>
      <c r="O216" s="339"/>
      <c r="P216" s="339"/>
      <c r="Q216" s="339"/>
      <c r="R216" s="1236">
        <f t="shared" si="90"/>
        <v>0</v>
      </c>
      <c r="S216" s="1237">
        <f t="shared" si="91"/>
        <v>0</v>
      </c>
      <c r="T216" s="341"/>
      <c r="U216" s="381">
        <f t="shared" si="92"/>
        <v>0</v>
      </c>
      <c r="V216" s="342">
        <f t="shared" si="93"/>
        <v>0</v>
      </c>
      <c r="W216" s="342">
        <f t="shared" si="94"/>
        <v>0</v>
      </c>
      <c r="X216" s="342">
        <f t="shared" si="95"/>
        <v>0</v>
      </c>
      <c r="Y216" s="382">
        <f t="shared" si="96"/>
        <v>0</v>
      </c>
      <c r="Z216" s="343">
        <f t="shared" si="97"/>
        <v>0</v>
      </c>
      <c r="AA216" s="343">
        <f t="shared" si="98"/>
        <v>0</v>
      </c>
      <c r="AB216" s="343">
        <f t="shared" si="99"/>
        <v>0</v>
      </c>
      <c r="AC216" s="383">
        <f t="shared" si="100"/>
        <v>0</v>
      </c>
      <c r="AD216" s="344">
        <f t="shared" si="101"/>
        <v>0</v>
      </c>
      <c r="AE216" s="344">
        <f t="shared" si="102"/>
        <v>0</v>
      </c>
      <c r="AF216" s="344">
        <f t="shared" si="103"/>
        <v>0</v>
      </c>
      <c r="AG216" s="345">
        <f t="shared" si="104"/>
        <v>0</v>
      </c>
      <c r="AH216" s="345">
        <f t="shared" si="105"/>
        <v>0</v>
      </c>
      <c r="AI216" s="345">
        <f t="shared" si="106"/>
        <v>0</v>
      </c>
      <c r="AJ216" s="306">
        <f t="shared" si="107"/>
        <v>0</v>
      </c>
      <c r="AK216" s="306">
        <f t="shared" si="108"/>
        <v>0</v>
      </c>
      <c r="AL216" s="306">
        <f t="shared" si="109"/>
        <v>0</v>
      </c>
      <c r="AM216" s="749"/>
      <c r="AN216" s="763"/>
      <c r="AO216" s="780"/>
      <c r="AP216" s="898">
        <f t="shared" si="110"/>
        <v>0</v>
      </c>
      <c r="AQ216" s="900">
        <f t="shared" si="111"/>
        <v>0</v>
      </c>
      <c r="AR216" s="896">
        <f t="shared" si="112"/>
        <v>0</v>
      </c>
      <c r="AS216" s="780"/>
      <c r="AT216" s="780"/>
      <c r="AU216" s="780"/>
      <c r="AV216" s="780"/>
      <c r="AW216" s="780"/>
      <c r="AX216" s="780"/>
      <c r="AY216" s="780"/>
      <c r="AZ216" s="780"/>
      <c r="BA216" s="780"/>
    </row>
    <row r="217" spans="1:59" x14ac:dyDescent="0.2">
      <c r="A217" s="346"/>
      <c r="B217" s="347"/>
      <c r="C217" s="358"/>
      <c r="D217" s="349"/>
      <c r="E217" s="349"/>
      <c r="F217" s="350"/>
      <c r="G217" s="1211">
        <f t="shared" si="89"/>
        <v>0</v>
      </c>
      <c r="H217" s="339"/>
      <c r="I217" s="339"/>
      <c r="J217" s="339"/>
      <c r="K217" s="339"/>
      <c r="L217" s="339"/>
      <c r="M217" s="339"/>
      <c r="N217" s="339"/>
      <c r="O217" s="339"/>
      <c r="P217" s="339"/>
      <c r="Q217" s="339"/>
      <c r="R217" s="1236">
        <f t="shared" si="90"/>
        <v>0</v>
      </c>
      <c r="S217" s="1237">
        <f t="shared" si="91"/>
        <v>0</v>
      </c>
      <c r="T217" s="341"/>
      <c r="U217" s="381">
        <f t="shared" si="92"/>
        <v>0</v>
      </c>
      <c r="V217" s="342">
        <f t="shared" si="93"/>
        <v>0</v>
      </c>
      <c r="W217" s="342">
        <f t="shared" si="94"/>
        <v>0</v>
      </c>
      <c r="X217" s="342">
        <f t="shared" si="95"/>
        <v>0</v>
      </c>
      <c r="Y217" s="382">
        <f t="shared" si="96"/>
        <v>0</v>
      </c>
      <c r="Z217" s="343">
        <f t="shared" si="97"/>
        <v>0</v>
      </c>
      <c r="AA217" s="343">
        <f t="shared" si="98"/>
        <v>0</v>
      </c>
      <c r="AB217" s="343">
        <f t="shared" si="99"/>
        <v>0</v>
      </c>
      <c r="AC217" s="383">
        <f t="shared" si="100"/>
        <v>0</v>
      </c>
      <c r="AD217" s="344">
        <f t="shared" si="101"/>
        <v>0</v>
      </c>
      <c r="AE217" s="344">
        <f t="shared" si="102"/>
        <v>0</v>
      </c>
      <c r="AF217" s="344">
        <f t="shared" si="103"/>
        <v>0</v>
      </c>
      <c r="AG217" s="345">
        <f t="shared" si="104"/>
        <v>0</v>
      </c>
      <c r="AH217" s="345">
        <f t="shared" si="105"/>
        <v>0</v>
      </c>
      <c r="AI217" s="345">
        <f t="shared" si="106"/>
        <v>0</v>
      </c>
      <c r="AJ217" s="306">
        <f t="shared" si="107"/>
        <v>0</v>
      </c>
      <c r="AK217" s="306">
        <f t="shared" si="108"/>
        <v>0</v>
      </c>
      <c r="AL217" s="306">
        <f t="shared" si="109"/>
        <v>0</v>
      </c>
      <c r="AM217" s="749"/>
      <c r="AN217" s="763"/>
      <c r="AO217" s="780"/>
      <c r="AP217" s="898">
        <f t="shared" si="110"/>
        <v>0</v>
      </c>
      <c r="AQ217" s="900">
        <f t="shared" si="111"/>
        <v>0</v>
      </c>
      <c r="AR217" s="896">
        <f t="shared" si="112"/>
        <v>0</v>
      </c>
      <c r="AS217" s="780"/>
      <c r="AT217" s="780"/>
      <c r="AU217" s="780"/>
      <c r="AV217" s="780"/>
      <c r="AW217" s="780"/>
      <c r="AX217" s="780"/>
      <c r="AY217" s="780"/>
      <c r="AZ217" s="780"/>
      <c r="BA217" s="780"/>
    </row>
    <row r="218" spans="1:59" x14ac:dyDescent="0.2">
      <c r="A218" s="346"/>
      <c r="B218" s="347"/>
      <c r="C218" s="358"/>
      <c r="D218" s="349"/>
      <c r="E218" s="349"/>
      <c r="F218" s="350"/>
      <c r="G218" s="1211">
        <f t="shared" si="89"/>
        <v>0</v>
      </c>
      <c r="H218" s="339"/>
      <c r="I218" s="339"/>
      <c r="J218" s="339"/>
      <c r="K218" s="339"/>
      <c r="L218" s="339"/>
      <c r="M218" s="339"/>
      <c r="N218" s="339"/>
      <c r="O218" s="339"/>
      <c r="P218" s="339"/>
      <c r="Q218" s="339"/>
      <c r="R218" s="1236">
        <f t="shared" si="90"/>
        <v>0</v>
      </c>
      <c r="S218" s="1237">
        <f t="shared" si="91"/>
        <v>0</v>
      </c>
      <c r="T218" s="341"/>
      <c r="U218" s="381">
        <f t="shared" si="92"/>
        <v>0</v>
      </c>
      <c r="V218" s="342">
        <f t="shared" si="93"/>
        <v>0</v>
      </c>
      <c r="W218" s="342">
        <f t="shared" si="94"/>
        <v>0</v>
      </c>
      <c r="X218" s="342">
        <f t="shared" si="95"/>
        <v>0</v>
      </c>
      <c r="Y218" s="382">
        <f t="shared" si="96"/>
        <v>0</v>
      </c>
      <c r="Z218" s="343">
        <f t="shared" si="97"/>
        <v>0</v>
      </c>
      <c r="AA218" s="343">
        <f t="shared" si="98"/>
        <v>0</v>
      </c>
      <c r="AB218" s="343">
        <f t="shared" si="99"/>
        <v>0</v>
      </c>
      <c r="AC218" s="383">
        <f t="shared" si="100"/>
        <v>0</v>
      </c>
      <c r="AD218" s="344">
        <f t="shared" si="101"/>
        <v>0</v>
      </c>
      <c r="AE218" s="344">
        <f t="shared" si="102"/>
        <v>0</v>
      </c>
      <c r="AF218" s="344">
        <f t="shared" si="103"/>
        <v>0</v>
      </c>
      <c r="AG218" s="345">
        <f t="shared" si="104"/>
        <v>0</v>
      </c>
      <c r="AH218" s="345">
        <f t="shared" si="105"/>
        <v>0</v>
      </c>
      <c r="AI218" s="345">
        <f t="shared" si="106"/>
        <v>0</v>
      </c>
      <c r="AJ218" s="306">
        <f t="shared" si="107"/>
        <v>0</v>
      </c>
      <c r="AK218" s="306">
        <f t="shared" si="108"/>
        <v>0</v>
      </c>
      <c r="AL218" s="306">
        <f t="shared" si="109"/>
        <v>0</v>
      </c>
      <c r="AM218" s="749"/>
      <c r="AN218" s="763"/>
      <c r="AO218" s="780"/>
      <c r="AP218" s="898">
        <f t="shared" si="110"/>
        <v>0</v>
      </c>
      <c r="AQ218" s="900">
        <f t="shared" si="111"/>
        <v>0</v>
      </c>
      <c r="AR218" s="896">
        <f t="shared" si="112"/>
        <v>0</v>
      </c>
      <c r="AS218" s="780"/>
      <c r="AT218" s="780"/>
      <c r="AU218" s="780"/>
      <c r="AV218" s="780"/>
      <c r="AW218" s="780"/>
      <c r="AX218" s="780"/>
      <c r="AY218" s="780"/>
      <c r="AZ218" s="780"/>
      <c r="BA218" s="780"/>
    </row>
    <row r="219" spans="1:59" x14ac:dyDescent="0.2">
      <c r="A219" s="346"/>
      <c r="B219" s="347"/>
      <c r="C219" s="358"/>
      <c r="D219" s="349"/>
      <c r="E219" s="349"/>
      <c r="F219" s="350"/>
      <c r="G219" s="1211">
        <f t="shared" si="89"/>
        <v>0</v>
      </c>
      <c r="H219" s="339"/>
      <c r="I219" s="339"/>
      <c r="J219" s="339"/>
      <c r="K219" s="339"/>
      <c r="L219" s="339"/>
      <c r="M219" s="339"/>
      <c r="N219" s="339"/>
      <c r="O219" s="339"/>
      <c r="P219" s="339"/>
      <c r="Q219" s="339"/>
      <c r="R219" s="1236">
        <f t="shared" si="90"/>
        <v>0</v>
      </c>
      <c r="S219" s="1237">
        <f t="shared" si="91"/>
        <v>0</v>
      </c>
      <c r="T219" s="341"/>
      <c r="U219" s="381">
        <f t="shared" si="92"/>
        <v>0</v>
      </c>
      <c r="V219" s="342">
        <f t="shared" si="93"/>
        <v>0</v>
      </c>
      <c r="W219" s="342">
        <f t="shared" si="94"/>
        <v>0</v>
      </c>
      <c r="X219" s="342">
        <f t="shared" si="95"/>
        <v>0</v>
      </c>
      <c r="Y219" s="382">
        <f t="shared" si="96"/>
        <v>0</v>
      </c>
      <c r="Z219" s="343">
        <f t="shared" si="97"/>
        <v>0</v>
      </c>
      <c r="AA219" s="343">
        <f t="shared" si="98"/>
        <v>0</v>
      </c>
      <c r="AB219" s="343">
        <f t="shared" si="99"/>
        <v>0</v>
      </c>
      <c r="AC219" s="383">
        <f t="shared" si="100"/>
        <v>0</v>
      </c>
      <c r="AD219" s="344">
        <f t="shared" si="101"/>
        <v>0</v>
      </c>
      <c r="AE219" s="344">
        <f t="shared" si="102"/>
        <v>0</v>
      </c>
      <c r="AF219" s="344">
        <f t="shared" si="103"/>
        <v>0</v>
      </c>
      <c r="AG219" s="345">
        <f t="shared" si="104"/>
        <v>0</v>
      </c>
      <c r="AH219" s="345">
        <f t="shared" si="105"/>
        <v>0</v>
      </c>
      <c r="AI219" s="345">
        <f t="shared" si="106"/>
        <v>0</v>
      </c>
      <c r="AJ219" s="306">
        <f t="shared" si="107"/>
        <v>0</v>
      </c>
      <c r="AK219" s="306">
        <f t="shared" si="108"/>
        <v>0</v>
      </c>
      <c r="AL219" s="306">
        <f t="shared" si="109"/>
        <v>0</v>
      </c>
      <c r="AM219" s="749"/>
      <c r="AN219" s="763"/>
      <c r="AO219" s="780"/>
      <c r="AP219" s="898">
        <f t="shared" si="110"/>
        <v>0</v>
      </c>
      <c r="AQ219" s="900">
        <f t="shared" si="111"/>
        <v>0</v>
      </c>
      <c r="AR219" s="896">
        <f t="shared" si="112"/>
        <v>0</v>
      </c>
      <c r="AS219" s="780"/>
      <c r="AT219" s="780"/>
      <c r="AU219" s="780"/>
      <c r="AV219" s="780"/>
      <c r="AW219" s="780"/>
      <c r="AX219" s="780"/>
      <c r="AY219" s="780"/>
      <c r="AZ219" s="780"/>
      <c r="BA219" s="780"/>
    </row>
    <row r="220" spans="1:59" x14ac:dyDescent="0.2">
      <c r="A220" s="346"/>
      <c r="B220" s="347"/>
      <c r="C220" s="358"/>
      <c r="D220" s="349"/>
      <c r="E220" s="349"/>
      <c r="F220" s="350"/>
      <c r="G220" s="1211">
        <f t="shared" si="89"/>
        <v>0</v>
      </c>
      <c r="H220" s="339"/>
      <c r="I220" s="339"/>
      <c r="J220" s="339"/>
      <c r="K220" s="339"/>
      <c r="L220" s="339"/>
      <c r="M220" s="339"/>
      <c r="N220" s="339"/>
      <c r="O220" s="339"/>
      <c r="P220" s="339"/>
      <c r="Q220" s="339"/>
      <c r="R220" s="1236">
        <f t="shared" si="90"/>
        <v>0</v>
      </c>
      <c r="S220" s="1237">
        <f t="shared" si="91"/>
        <v>0</v>
      </c>
      <c r="T220" s="341"/>
      <c r="U220" s="381">
        <f t="shared" si="92"/>
        <v>0</v>
      </c>
      <c r="V220" s="342">
        <f t="shared" si="93"/>
        <v>0</v>
      </c>
      <c r="W220" s="342">
        <f t="shared" si="94"/>
        <v>0</v>
      </c>
      <c r="X220" s="342">
        <f t="shared" si="95"/>
        <v>0</v>
      </c>
      <c r="Y220" s="382">
        <f t="shared" si="96"/>
        <v>0</v>
      </c>
      <c r="Z220" s="343">
        <f t="shared" si="97"/>
        <v>0</v>
      </c>
      <c r="AA220" s="343">
        <f t="shared" si="98"/>
        <v>0</v>
      </c>
      <c r="AB220" s="343">
        <f t="shared" si="99"/>
        <v>0</v>
      </c>
      <c r="AC220" s="383">
        <f t="shared" si="100"/>
        <v>0</v>
      </c>
      <c r="AD220" s="344">
        <f t="shared" si="101"/>
        <v>0</v>
      </c>
      <c r="AE220" s="344">
        <f t="shared" si="102"/>
        <v>0</v>
      </c>
      <c r="AF220" s="344">
        <f t="shared" si="103"/>
        <v>0</v>
      </c>
      <c r="AG220" s="345">
        <f t="shared" si="104"/>
        <v>0</v>
      </c>
      <c r="AH220" s="345">
        <f t="shared" si="105"/>
        <v>0</v>
      </c>
      <c r="AI220" s="345">
        <f t="shared" si="106"/>
        <v>0</v>
      </c>
      <c r="AJ220" s="306">
        <f t="shared" si="107"/>
        <v>0</v>
      </c>
      <c r="AK220" s="306">
        <f t="shared" si="108"/>
        <v>0</v>
      </c>
      <c r="AL220" s="306">
        <f t="shared" si="109"/>
        <v>0</v>
      </c>
      <c r="AM220" s="749"/>
      <c r="AN220" s="763"/>
      <c r="AO220" s="780"/>
      <c r="AP220" s="898">
        <f t="shared" si="110"/>
        <v>0</v>
      </c>
      <c r="AQ220" s="900">
        <f t="shared" si="111"/>
        <v>0</v>
      </c>
      <c r="AR220" s="896">
        <f t="shared" si="112"/>
        <v>0</v>
      </c>
      <c r="AS220" s="780"/>
      <c r="AT220" s="780"/>
      <c r="AU220" s="780"/>
      <c r="AV220" s="780"/>
      <c r="AW220" s="780"/>
      <c r="AX220" s="780"/>
      <c r="AY220" s="780"/>
      <c r="AZ220" s="780"/>
      <c r="BA220" s="780"/>
    </row>
    <row r="221" spans="1:59" x14ac:dyDescent="0.2">
      <c r="A221" s="346"/>
      <c r="B221" s="347"/>
      <c r="C221" s="358"/>
      <c r="D221" s="349"/>
      <c r="E221" s="349"/>
      <c r="F221" s="350"/>
      <c r="G221" s="1211">
        <f t="shared" si="89"/>
        <v>0</v>
      </c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1236">
        <f t="shared" si="90"/>
        <v>0</v>
      </c>
      <c r="S221" s="1237">
        <f t="shared" si="91"/>
        <v>0</v>
      </c>
      <c r="T221" s="341"/>
      <c r="U221" s="381">
        <f t="shared" si="92"/>
        <v>0</v>
      </c>
      <c r="V221" s="342">
        <f t="shared" si="93"/>
        <v>0</v>
      </c>
      <c r="W221" s="342">
        <f t="shared" si="94"/>
        <v>0</v>
      </c>
      <c r="X221" s="342">
        <f t="shared" si="95"/>
        <v>0</v>
      </c>
      <c r="Y221" s="382">
        <f t="shared" si="96"/>
        <v>0</v>
      </c>
      <c r="Z221" s="343">
        <f t="shared" si="97"/>
        <v>0</v>
      </c>
      <c r="AA221" s="343">
        <f t="shared" si="98"/>
        <v>0</v>
      </c>
      <c r="AB221" s="343">
        <f t="shared" si="99"/>
        <v>0</v>
      </c>
      <c r="AC221" s="383">
        <f t="shared" si="100"/>
        <v>0</v>
      </c>
      <c r="AD221" s="344">
        <f t="shared" si="101"/>
        <v>0</v>
      </c>
      <c r="AE221" s="344">
        <f t="shared" si="102"/>
        <v>0</v>
      </c>
      <c r="AF221" s="344">
        <f t="shared" si="103"/>
        <v>0</v>
      </c>
      <c r="AG221" s="345">
        <f t="shared" si="104"/>
        <v>0</v>
      </c>
      <c r="AH221" s="345">
        <f t="shared" si="105"/>
        <v>0</v>
      </c>
      <c r="AI221" s="345">
        <f t="shared" si="106"/>
        <v>0</v>
      </c>
      <c r="AJ221" s="306">
        <f t="shared" si="107"/>
        <v>0</v>
      </c>
      <c r="AK221" s="306">
        <f t="shared" si="108"/>
        <v>0</v>
      </c>
      <c r="AL221" s="306">
        <f t="shared" si="109"/>
        <v>0</v>
      </c>
      <c r="AM221" s="749"/>
      <c r="AN221" s="763"/>
      <c r="AO221" s="780"/>
      <c r="AP221" s="898">
        <f t="shared" si="110"/>
        <v>0</v>
      </c>
      <c r="AQ221" s="900">
        <f t="shared" si="111"/>
        <v>0</v>
      </c>
      <c r="AR221" s="896">
        <f t="shared" si="112"/>
        <v>0</v>
      </c>
      <c r="AS221" s="780"/>
      <c r="AT221" s="780"/>
      <c r="AU221" s="780"/>
      <c r="AV221" s="780"/>
      <c r="AW221" s="780"/>
      <c r="AX221" s="780"/>
      <c r="AY221" s="780"/>
      <c r="AZ221" s="780"/>
      <c r="BA221" s="780"/>
    </row>
    <row r="222" spans="1:59" x14ac:dyDescent="0.2">
      <c r="A222" s="346"/>
      <c r="B222" s="347"/>
      <c r="C222" s="358"/>
      <c r="D222" s="349"/>
      <c r="E222" s="349"/>
      <c r="F222" s="350"/>
      <c r="G222" s="1211">
        <f t="shared" si="89"/>
        <v>0</v>
      </c>
      <c r="H222" s="339"/>
      <c r="I222" s="339"/>
      <c r="J222" s="339"/>
      <c r="K222" s="339"/>
      <c r="L222" s="339"/>
      <c r="M222" s="339"/>
      <c r="N222" s="339"/>
      <c r="O222" s="339"/>
      <c r="P222" s="339"/>
      <c r="Q222" s="339"/>
      <c r="R222" s="1236">
        <f t="shared" si="90"/>
        <v>0</v>
      </c>
      <c r="S222" s="1237">
        <f t="shared" si="91"/>
        <v>0</v>
      </c>
      <c r="T222" s="341"/>
      <c r="U222" s="381">
        <f t="shared" si="92"/>
        <v>0</v>
      </c>
      <c r="V222" s="342">
        <f t="shared" si="93"/>
        <v>0</v>
      </c>
      <c r="W222" s="342">
        <f t="shared" si="94"/>
        <v>0</v>
      </c>
      <c r="X222" s="342">
        <f t="shared" si="95"/>
        <v>0</v>
      </c>
      <c r="Y222" s="382">
        <f t="shared" si="96"/>
        <v>0</v>
      </c>
      <c r="Z222" s="343">
        <f t="shared" si="97"/>
        <v>0</v>
      </c>
      <c r="AA222" s="343">
        <f t="shared" si="98"/>
        <v>0</v>
      </c>
      <c r="AB222" s="343">
        <f t="shared" si="99"/>
        <v>0</v>
      </c>
      <c r="AC222" s="383">
        <f t="shared" si="100"/>
        <v>0</v>
      </c>
      <c r="AD222" s="344">
        <f t="shared" si="101"/>
        <v>0</v>
      </c>
      <c r="AE222" s="344">
        <f t="shared" si="102"/>
        <v>0</v>
      </c>
      <c r="AF222" s="344">
        <f t="shared" si="103"/>
        <v>0</v>
      </c>
      <c r="AG222" s="345">
        <f t="shared" si="104"/>
        <v>0</v>
      </c>
      <c r="AH222" s="345">
        <f t="shared" si="105"/>
        <v>0</v>
      </c>
      <c r="AI222" s="345">
        <f t="shared" si="106"/>
        <v>0</v>
      </c>
      <c r="AJ222" s="306">
        <f t="shared" si="107"/>
        <v>0</v>
      </c>
      <c r="AK222" s="306">
        <f t="shared" si="108"/>
        <v>0</v>
      </c>
      <c r="AL222" s="306">
        <f t="shared" si="109"/>
        <v>0</v>
      </c>
      <c r="AM222" s="749"/>
      <c r="AN222" s="763"/>
      <c r="AO222" s="780"/>
      <c r="AP222" s="898">
        <f t="shared" si="110"/>
        <v>0</v>
      </c>
      <c r="AQ222" s="900">
        <f t="shared" si="111"/>
        <v>0</v>
      </c>
      <c r="AR222" s="896">
        <f t="shared" si="112"/>
        <v>0</v>
      </c>
      <c r="AS222" s="780"/>
      <c r="AT222" s="780"/>
      <c r="AU222" s="780"/>
      <c r="AV222" s="780"/>
      <c r="AW222" s="780"/>
      <c r="AX222" s="780"/>
      <c r="AY222" s="780"/>
      <c r="AZ222" s="780"/>
      <c r="BA222" s="780"/>
    </row>
    <row r="223" spans="1:59" x14ac:dyDescent="0.2">
      <c r="A223" s="1714" t="s">
        <v>889</v>
      </c>
      <c r="B223" s="1715"/>
      <c r="C223" s="1715"/>
      <c r="D223" s="1716"/>
      <c r="E223" s="1238"/>
      <c r="F223" s="1239"/>
      <c r="G223" s="726"/>
      <c r="H223" s="726"/>
      <c r="I223" s="726"/>
      <c r="J223" s="726"/>
      <c r="K223" s="726"/>
      <c r="L223" s="726"/>
      <c r="M223" s="726"/>
      <c r="N223" s="726"/>
      <c r="O223" s="726"/>
      <c r="P223" s="726"/>
      <c r="Q223" s="726"/>
      <c r="R223" s="726"/>
      <c r="S223" s="1240"/>
      <c r="T223" s="341"/>
      <c r="U223" s="727">
        <f t="shared" si="92"/>
        <v>0</v>
      </c>
      <c r="V223" s="728">
        <f t="shared" si="93"/>
        <v>0</v>
      </c>
      <c r="W223" s="728">
        <f t="shared" si="94"/>
        <v>0</v>
      </c>
      <c r="X223" s="728">
        <f t="shared" si="95"/>
        <v>0</v>
      </c>
      <c r="Y223" s="729">
        <f t="shared" si="96"/>
        <v>0</v>
      </c>
      <c r="Z223" s="730">
        <f t="shared" si="97"/>
        <v>0</v>
      </c>
      <c r="AA223" s="730">
        <f t="shared" si="98"/>
        <v>0</v>
      </c>
      <c r="AB223" s="730">
        <f t="shared" si="99"/>
        <v>0</v>
      </c>
      <c r="AC223" s="731">
        <f t="shared" si="100"/>
        <v>0</v>
      </c>
      <c r="AD223" s="732">
        <f t="shared" si="101"/>
        <v>0</v>
      </c>
      <c r="AE223" s="732">
        <f t="shared" si="102"/>
        <v>0</v>
      </c>
      <c r="AF223" s="732">
        <f t="shared" si="103"/>
        <v>0</v>
      </c>
      <c r="AG223" s="726">
        <f t="shared" si="104"/>
        <v>0</v>
      </c>
      <c r="AH223" s="726">
        <f t="shared" si="105"/>
        <v>0</v>
      </c>
      <c r="AI223" s="726">
        <f t="shared" si="106"/>
        <v>0</v>
      </c>
      <c r="AJ223" s="733">
        <f t="shared" si="107"/>
        <v>0</v>
      </c>
      <c r="AK223" s="733">
        <f t="shared" si="108"/>
        <v>0</v>
      </c>
      <c r="AL223" s="733">
        <f t="shared" si="109"/>
        <v>0</v>
      </c>
      <c r="AM223" s="752"/>
      <c r="AN223" s="767"/>
      <c r="AO223" s="784"/>
      <c r="AP223" s="898">
        <f t="shared" si="110"/>
        <v>0</v>
      </c>
      <c r="AQ223" s="900">
        <f t="shared" si="111"/>
        <v>0</v>
      </c>
      <c r="AR223" s="896">
        <f t="shared" si="112"/>
        <v>0</v>
      </c>
      <c r="AS223" s="784"/>
      <c r="AT223" s="784"/>
      <c r="AU223" s="784"/>
      <c r="AV223" s="784"/>
      <c r="AW223" s="784"/>
      <c r="AX223" s="784"/>
      <c r="AY223" s="784"/>
      <c r="AZ223" s="784"/>
      <c r="BA223" s="784"/>
    </row>
    <row r="224" spans="1:59" x14ac:dyDescent="0.2">
      <c r="A224" s="346"/>
      <c r="B224" s="347"/>
      <c r="C224" s="358"/>
      <c r="D224" s="349"/>
      <c r="E224" s="349"/>
      <c r="F224" s="350"/>
      <c r="G224" s="1211">
        <f t="shared" si="89"/>
        <v>0</v>
      </c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1236">
        <f t="shared" ref="R224:R243" si="113">IFERROR(IF(A224&lt;&gt;"GfB",(SUM(G224:J224,L224,P224)*12+(N224+O224))*(100+$J$12+$J$13)%+((K224+M224+Q224)*12),(SUM(G224:J224,L224,P224)*12+(N224+O224))*(100+$J$15+$J$13)%+((K224+M224+Q224)*12)),0)</f>
        <v>0</v>
      </c>
      <c r="S224" s="1237">
        <f t="shared" ref="S224:S243" si="114">IF(ISERROR(R224/C224),0,(R224/C224))</f>
        <v>0</v>
      </c>
      <c r="T224" s="341"/>
      <c r="U224" s="381">
        <f t="shared" si="92"/>
        <v>0</v>
      </c>
      <c r="V224" s="342">
        <f t="shared" si="93"/>
        <v>0</v>
      </c>
      <c r="W224" s="342">
        <f t="shared" si="94"/>
        <v>0</v>
      </c>
      <c r="X224" s="342">
        <f t="shared" si="95"/>
        <v>0</v>
      </c>
      <c r="Y224" s="382">
        <f t="shared" si="96"/>
        <v>0</v>
      </c>
      <c r="Z224" s="343">
        <f t="shared" si="97"/>
        <v>0</v>
      </c>
      <c r="AA224" s="343">
        <f t="shared" si="98"/>
        <v>0</v>
      </c>
      <c r="AB224" s="343">
        <f t="shared" si="99"/>
        <v>0</v>
      </c>
      <c r="AC224" s="383">
        <f t="shared" si="100"/>
        <v>0</v>
      </c>
      <c r="AD224" s="344">
        <f t="shared" si="101"/>
        <v>0</v>
      </c>
      <c r="AE224" s="344">
        <f t="shared" si="102"/>
        <v>0</v>
      </c>
      <c r="AF224" s="344">
        <f t="shared" si="103"/>
        <v>0</v>
      </c>
      <c r="AG224" s="345">
        <f t="shared" si="104"/>
        <v>0</v>
      </c>
      <c r="AH224" s="345">
        <f t="shared" si="105"/>
        <v>0</v>
      </c>
      <c r="AI224" s="345">
        <f t="shared" si="106"/>
        <v>0</v>
      </c>
      <c r="AJ224" s="306">
        <f t="shared" si="107"/>
        <v>0</v>
      </c>
      <c r="AK224" s="306">
        <f t="shared" si="108"/>
        <v>0</v>
      </c>
      <c r="AL224" s="306">
        <f t="shared" si="109"/>
        <v>0</v>
      </c>
      <c r="AM224" s="749"/>
      <c r="AN224" s="763"/>
      <c r="AO224" s="780"/>
      <c r="AP224" s="898">
        <f t="shared" si="110"/>
        <v>0</v>
      </c>
      <c r="AQ224" s="900">
        <f t="shared" si="111"/>
        <v>0</v>
      </c>
      <c r="AR224" s="896">
        <f t="shared" si="112"/>
        <v>0</v>
      </c>
      <c r="AS224" s="780"/>
      <c r="AT224" s="780"/>
      <c r="AU224" s="780"/>
      <c r="AV224" s="780"/>
      <c r="AW224" s="780"/>
      <c r="AX224" s="780"/>
      <c r="AY224" s="780"/>
      <c r="AZ224" s="780"/>
      <c r="BA224" s="780"/>
    </row>
    <row r="225" spans="1:53" x14ac:dyDescent="0.2">
      <c r="A225" s="346"/>
      <c r="B225" s="347"/>
      <c r="C225" s="358"/>
      <c r="D225" s="349"/>
      <c r="E225" s="349"/>
      <c r="F225" s="350"/>
      <c r="G225" s="1211">
        <f t="shared" ref="G225:G232" si="115">IFERROR(F225*C225,"")</f>
        <v>0</v>
      </c>
      <c r="H225" s="339"/>
      <c r="I225" s="339"/>
      <c r="J225" s="339"/>
      <c r="K225" s="339"/>
      <c r="L225" s="339"/>
      <c r="M225" s="339"/>
      <c r="N225" s="339"/>
      <c r="O225" s="339"/>
      <c r="P225" s="339"/>
      <c r="Q225" s="339"/>
      <c r="R225" s="1236">
        <f t="shared" si="113"/>
        <v>0</v>
      </c>
      <c r="S225" s="1237">
        <f t="shared" si="114"/>
        <v>0</v>
      </c>
      <c r="T225" s="341"/>
      <c r="U225" s="381">
        <f t="shared" si="92"/>
        <v>0</v>
      </c>
      <c r="V225" s="342">
        <f t="shared" si="93"/>
        <v>0</v>
      </c>
      <c r="W225" s="342">
        <f t="shared" si="94"/>
        <v>0</v>
      </c>
      <c r="X225" s="342">
        <f t="shared" si="95"/>
        <v>0</v>
      </c>
      <c r="Y225" s="382">
        <f t="shared" si="96"/>
        <v>0</v>
      </c>
      <c r="Z225" s="343">
        <f t="shared" si="97"/>
        <v>0</v>
      </c>
      <c r="AA225" s="343">
        <f t="shared" si="98"/>
        <v>0</v>
      </c>
      <c r="AB225" s="343">
        <f t="shared" si="99"/>
        <v>0</v>
      </c>
      <c r="AC225" s="383">
        <f t="shared" si="100"/>
        <v>0</v>
      </c>
      <c r="AD225" s="344">
        <f t="shared" si="101"/>
        <v>0</v>
      </c>
      <c r="AE225" s="344">
        <f t="shared" si="102"/>
        <v>0</v>
      </c>
      <c r="AF225" s="344">
        <f t="shared" si="103"/>
        <v>0</v>
      </c>
      <c r="AG225" s="345">
        <f t="shared" si="104"/>
        <v>0</v>
      </c>
      <c r="AH225" s="345">
        <f t="shared" si="105"/>
        <v>0</v>
      </c>
      <c r="AI225" s="345">
        <f t="shared" si="106"/>
        <v>0</v>
      </c>
      <c r="AJ225" s="306">
        <f t="shared" si="107"/>
        <v>0</v>
      </c>
      <c r="AK225" s="306">
        <f t="shared" si="108"/>
        <v>0</v>
      </c>
      <c r="AL225" s="306">
        <f t="shared" si="109"/>
        <v>0</v>
      </c>
      <c r="AM225" s="749"/>
      <c r="AN225" s="763"/>
      <c r="AO225" s="780"/>
      <c r="AP225" s="898">
        <f t="shared" si="110"/>
        <v>0</v>
      </c>
      <c r="AQ225" s="900">
        <f t="shared" si="111"/>
        <v>0</v>
      </c>
      <c r="AR225" s="896">
        <f t="shared" si="112"/>
        <v>0</v>
      </c>
      <c r="AS225" s="780"/>
      <c r="AT225" s="780"/>
      <c r="AU225" s="780"/>
      <c r="AV225" s="780"/>
      <c r="AW225" s="780"/>
      <c r="AX225" s="780"/>
      <c r="AY225" s="780"/>
      <c r="AZ225" s="780"/>
      <c r="BA225" s="780"/>
    </row>
    <row r="226" spans="1:53" x14ac:dyDescent="0.2">
      <c r="A226" s="346"/>
      <c r="B226" s="347"/>
      <c r="C226" s="358"/>
      <c r="D226" s="349"/>
      <c r="E226" s="349"/>
      <c r="F226" s="350"/>
      <c r="G226" s="1211">
        <f t="shared" si="115"/>
        <v>0</v>
      </c>
      <c r="H226" s="339"/>
      <c r="I226" s="339"/>
      <c r="J226" s="339"/>
      <c r="K226" s="339"/>
      <c r="L226" s="339"/>
      <c r="M226" s="339"/>
      <c r="N226" s="339"/>
      <c r="O226" s="339"/>
      <c r="P226" s="339"/>
      <c r="Q226" s="339"/>
      <c r="R226" s="1236">
        <f t="shared" si="113"/>
        <v>0</v>
      </c>
      <c r="S226" s="1237">
        <f t="shared" si="114"/>
        <v>0</v>
      </c>
      <c r="T226" s="341"/>
      <c r="U226" s="381">
        <f t="shared" si="92"/>
        <v>0</v>
      </c>
      <c r="V226" s="342">
        <f t="shared" si="93"/>
        <v>0</v>
      </c>
      <c r="W226" s="342">
        <f t="shared" si="94"/>
        <v>0</v>
      </c>
      <c r="X226" s="342">
        <f t="shared" si="95"/>
        <v>0</v>
      </c>
      <c r="Y226" s="382">
        <f t="shared" si="96"/>
        <v>0</v>
      </c>
      <c r="Z226" s="343">
        <f t="shared" si="97"/>
        <v>0</v>
      </c>
      <c r="AA226" s="343">
        <f t="shared" si="98"/>
        <v>0</v>
      </c>
      <c r="AB226" s="343">
        <f t="shared" si="99"/>
        <v>0</v>
      </c>
      <c r="AC226" s="383">
        <f t="shared" si="100"/>
        <v>0</v>
      </c>
      <c r="AD226" s="344">
        <f t="shared" si="101"/>
        <v>0</v>
      </c>
      <c r="AE226" s="344">
        <f t="shared" si="102"/>
        <v>0</v>
      </c>
      <c r="AF226" s="344">
        <f t="shared" si="103"/>
        <v>0</v>
      </c>
      <c r="AG226" s="345">
        <f t="shared" si="104"/>
        <v>0</v>
      </c>
      <c r="AH226" s="345">
        <f t="shared" si="105"/>
        <v>0</v>
      </c>
      <c r="AI226" s="345">
        <f t="shared" si="106"/>
        <v>0</v>
      </c>
      <c r="AJ226" s="306">
        <f t="shared" si="107"/>
        <v>0</v>
      </c>
      <c r="AK226" s="306">
        <f t="shared" si="108"/>
        <v>0</v>
      </c>
      <c r="AL226" s="306">
        <f t="shared" si="109"/>
        <v>0</v>
      </c>
      <c r="AM226" s="749"/>
      <c r="AN226" s="763"/>
      <c r="AO226" s="780"/>
      <c r="AP226" s="898">
        <f t="shared" si="110"/>
        <v>0</v>
      </c>
      <c r="AQ226" s="900">
        <f t="shared" si="111"/>
        <v>0</v>
      </c>
      <c r="AR226" s="896">
        <f t="shared" si="112"/>
        <v>0</v>
      </c>
      <c r="AS226" s="780"/>
      <c r="AT226" s="780"/>
      <c r="AU226" s="780"/>
      <c r="AV226" s="780"/>
      <c r="AW226" s="780"/>
      <c r="AX226" s="780"/>
      <c r="AY226" s="780"/>
      <c r="AZ226" s="780"/>
      <c r="BA226" s="780"/>
    </row>
    <row r="227" spans="1:53" x14ac:dyDescent="0.2">
      <c r="A227" s="346"/>
      <c r="B227" s="347"/>
      <c r="C227" s="358"/>
      <c r="D227" s="349"/>
      <c r="E227" s="349"/>
      <c r="F227" s="350"/>
      <c r="G227" s="1211">
        <f t="shared" si="115"/>
        <v>0</v>
      </c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1236">
        <f t="shared" si="113"/>
        <v>0</v>
      </c>
      <c r="S227" s="1237">
        <f t="shared" si="114"/>
        <v>0</v>
      </c>
      <c r="T227" s="341"/>
      <c r="U227" s="381">
        <f t="shared" si="92"/>
        <v>0</v>
      </c>
      <c r="V227" s="342">
        <f t="shared" si="93"/>
        <v>0</v>
      </c>
      <c r="W227" s="342">
        <f t="shared" si="94"/>
        <v>0</v>
      </c>
      <c r="X227" s="342">
        <f t="shared" si="95"/>
        <v>0</v>
      </c>
      <c r="Y227" s="382">
        <f t="shared" si="96"/>
        <v>0</v>
      </c>
      <c r="Z227" s="343">
        <f t="shared" si="97"/>
        <v>0</v>
      </c>
      <c r="AA227" s="343">
        <f t="shared" si="98"/>
        <v>0</v>
      </c>
      <c r="AB227" s="343">
        <f t="shared" si="99"/>
        <v>0</v>
      </c>
      <c r="AC227" s="383">
        <f t="shared" si="100"/>
        <v>0</v>
      </c>
      <c r="AD227" s="344">
        <f t="shared" si="101"/>
        <v>0</v>
      </c>
      <c r="AE227" s="344">
        <f t="shared" si="102"/>
        <v>0</v>
      </c>
      <c r="AF227" s="344">
        <f t="shared" si="103"/>
        <v>0</v>
      </c>
      <c r="AG227" s="345">
        <f t="shared" si="104"/>
        <v>0</v>
      </c>
      <c r="AH227" s="345">
        <f t="shared" si="105"/>
        <v>0</v>
      </c>
      <c r="AI227" s="345">
        <f t="shared" si="106"/>
        <v>0</v>
      </c>
      <c r="AJ227" s="306">
        <f t="shared" ref="AJ227:AJ243" si="116">IF(AND($B227="PFK/BFK",$C227&gt;0,$F227&gt;0),$R227,0)</f>
        <v>0</v>
      </c>
      <c r="AK227" s="306">
        <f t="shared" ref="AK227:AK243" si="117">IF(AND($B227="PK/BK",$C227&gt;0,$F227&gt;0),$R227,0)</f>
        <v>0</v>
      </c>
      <c r="AL227" s="306">
        <f t="shared" ref="AL227:AL243" si="118">IF(AND($B227="PK/BK o.",$C227&gt;0,$F227&gt;0),$R227,0)</f>
        <v>0</v>
      </c>
      <c r="AM227" s="749"/>
      <c r="AN227" s="763"/>
      <c r="AO227" s="780"/>
      <c r="AP227" s="898">
        <f t="shared" si="110"/>
        <v>0</v>
      </c>
      <c r="AQ227" s="900">
        <f t="shared" si="111"/>
        <v>0</v>
      </c>
      <c r="AR227" s="896">
        <f t="shared" si="112"/>
        <v>0</v>
      </c>
      <c r="AS227" s="780"/>
      <c r="AT227" s="780"/>
      <c r="AU227" s="780"/>
      <c r="AV227" s="780"/>
      <c r="AW227" s="780"/>
      <c r="AX227" s="780"/>
      <c r="AY227" s="780"/>
      <c r="AZ227" s="780"/>
      <c r="BA227" s="780"/>
    </row>
    <row r="228" spans="1:53" x14ac:dyDescent="0.2">
      <c r="A228" s="346"/>
      <c r="B228" s="347"/>
      <c r="C228" s="358"/>
      <c r="D228" s="349"/>
      <c r="E228" s="349"/>
      <c r="F228" s="350"/>
      <c r="G228" s="1211">
        <f t="shared" si="115"/>
        <v>0</v>
      </c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1236">
        <f t="shared" si="113"/>
        <v>0</v>
      </c>
      <c r="S228" s="1237">
        <f t="shared" si="114"/>
        <v>0</v>
      </c>
      <c r="T228" s="341"/>
      <c r="U228" s="381">
        <f t="shared" si="92"/>
        <v>0</v>
      </c>
      <c r="V228" s="342">
        <f t="shared" si="93"/>
        <v>0</v>
      </c>
      <c r="W228" s="342">
        <f t="shared" si="94"/>
        <v>0</v>
      </c>
      <c r="X228" s="342">
        <f t="shared" si="95"/>
        <v>0</v>
      </c>
      <c r="Y228" s="382">
        <f t="shared" si="96"/>
        <v>0</v>
      </c>
      <c r="Z228" s="343">
        <f t="shared" si="97"/>
        <v>0</v>
      </c>
      <c r="AA228" s="343">
        <f t="shared" si="98"/>
        <v>0</v>
      </c>
      <c r="AB228" s="343">
        <f t="shared" si="99"/>
        <v>0</v>
      </c>
      <c r="AC228" s="383">
        <f t="shared" si="100"/>
        <v>0</v>
      </c>
      <c r="AD228" s="344">
        <f t="shared" si="101"/>
        <v>0</v>
      </c>
      <c r="AE228" s="344">
        <f t="shared" si="102"/>
        <v>0</v>
      </c>
      <c r="AF228" s="344">
        <f t="shared" si="103"/>
        <v>0</v>
      </c>
      <c r="AG228" s="345">
        <f t="shared" si="104"/>
        <v>0</v>
      </c>
      <c r="AH228" s="345">
        <f t="shared" si="105"/>
        <v>0</v>
      </c>
      <c r="AI228" s="345">
        <f t="shared" si="106"/>
        <v>0</v>
      </c>
      <c r="AJ228" s="306">
        <f t="shared" si="116"/>
        <v>0</v>
      </c>
      <c r="AK228" s="306">
        <f t="shared" si="117"/>
        <v>0</v>
      </c>
      <c r="AL228" s="306">
        <f t="shared" si="118"/>
        <v>0</v>
      </c>
      <c r="AM228" s="749"/>
      <c r="AN228" s="763"/>
      <c r="AO228" s="780"/>
      <c r="AP228" s="898">
        <f t="shared" si="110"/>
        <v>0</v>
      </c>
      <c r="AQ228" s="900">
        <f t="shared" si="111"/>
        <v>0</v>
      </c>
      <c r="AR228" s="896">
        <f t="shared" si="112"/>
        <v>0</v>
      </c>
      <c r="AS228" s="780"/>
      <c r="AT228" s="780"/>
      <c r="AU228" s="780"/>
      <c r="AV228" s="780"/>
      <c r="AW228" s="780"/>
      <c r="AX228" s="780"/>
      <c r="AY228" s="780"/>
      <c r="AZ228" s="780"/>
      <c r="BA228" s="780"/>
    </row>
    <row r="229" spans="1:53" x14ac:dyDescent="0.2">
      <c r="A229" s="346"/>
      <c r="B229" s="347"/>
      <c r="C229" s="358"/>
      <c r="D229" s="349"/>
      <c r="E229" s="349"/>
      <c r="F229" s="350"/>
      <c r="G229" s="1211">
        <f t="shared" si="115"/>
        <v>0</v>
      </c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1236">
        <f t="shared" si="113"/>
        <v>0</v>
      </c>
      <c r="S229" s="1237">
        <f t="shared" si="114"/>
        <v>0</v>
      </c>
      <c r="T229" s="341"/>
      <c r="U229" s="381">
        <f t="shared" si="92"/>
        <v>0</v>
      </c>
      <c r="V229" s="342">
        <f t="shared" si="93"/>
        <v>0</v>
      </c>
      <c r="W229" s="342">
        <f t="shared" si="94"/>
        <v>0</v>
      </c>
      <c r="X229" s="342">
        <f t="shared" si="95"/>
        <v>0</v>
      </c>
      <c r="Y229" s="382">
        <f t="shared" si="96"/>
        <v>0</v>
      </c>
      <c r="Z229" s="343">
        <f t="shared" si="97"/>
        <v>0</v>
      </c>
      <c r="AA229" s="343">
        <f t="shared" si="98"/>
        <v>0</v>
      </c>
      <c r="AB229" s="343">
        <f t="shared" si="99"/>
        <v>0</v>
      </c>
      <c r="AC229" s="383">
        <f t="shared" si="100"/>
        <v>0</v>
      </c>
      <c r="AD229" s="344">
        <f t="shared" si="101"/>
        <v>0</v>
      </c>
      <c r="AE229" s="344">
        <f t="shared" si="102"/>
        <v>0</v>
      </c>
      <c r="AF229" s="344">
        <f t="shared" si="103"/>
        <v>0</v>
      </c>
      <c r="AG229" s="345">
        <f t="shared" si="104"/>
        <v>0</v>
      </c>
      <c r="AH229" s="345">
        <f t="shared" si="105"/>
        <v>0</v>
      </c>
      <c r="AI229" s="345">
        <f t="shared" si="106"/>
        <v>0</v>
      </c>
      <c r="AJ229" s="306">
        <f t="shared" si="116"/>
        <v>0</v>
      </c>
      <c r="AK229" s="306">
        <f t="shared" si="117"/>
        <v>0</v>
      </c>
      <c r="AL229" s="306">
        <f t="shared" si="118"/>
        <v>0</v>
      </c>
      <c r="AM229" s="749"/>
      <c r="AN229" s="763"/>
      <c r="AO229" s="780"/>
      <c r="AP229" s="898">
        <f t="shared" si="110"/>
        <v>0</v>
      </c>
      <c r="AQ229" s="900">
        <f t="shared" si="111"/>
        <v>0</v>
      </c>
      <c r="AR229" s="896">
        <f t="shared" si="112"/>
        <v>0</v>
      </c>
      <c r="AS229" s="780"/>
      <c r="AT229" s="780"/>
      <c r="AU229" s="780"/>
      <c r="AV229" s="780"/>
      <c r="AW229" s="780"/>
      <c r="AX229" s="780"/>
      <c r="AY229" s="780"/>
      <c r="AZ229" s="780"/>
      <c r="BA229" s="780"/>
    </row>
    <row r="230" spans="1:53" x14ac:dyDescent="0.2">
      <c r="A230" s="346"/>
      <c r="B230" s="347"/>
      <c r="C230" s="358"/>
      <c r="D230" s="349"/>
      <c r="E230" s="349"/>
      <c r="F230" s="350"/>
      <c r="G230" s="1211">
        <f t="shared" si="115"/>
        <v>0</v>
      </c>
      <c r="H230" s="339"/>
      <c r="I230" s="339"/>
      <c r="J230" s="339"/>
      <c r="K230" s="339"/>
      <c r="L230" s="339"/>
      <c r="M230" s="339"/>
      <c r="N230" s="339"/>
      <c r="O230" s="339"/>
      <c r="P230" s="339"/>
      <c r="Q230" s="339"/>
      <c r="R230" s="1236">
        <f t="shared" si="113"/>
        <v>0</v>
      </c>
      <c r="S230" s="1237">
        <f t="shared" si="114"/>
        <v>0</v>
      </c>
      <c r="T230" s="341"/>
      <c r="U230" s="381">
        <f t="shared" si="92"/>
        <v>0</v>
      </c>
      <c r="V230" s="342">
        <f t="shared" si="93"/>
        <v>0</v>
      </c>
      <c r="W230" s="342">
        <f t="shared" si="94"/>
        <v>0</v>
      </c>
      <c r="X230" s="342">
        <f t="shared" si="95"/>
        <v>0</v>
      </c>
      <c r="Y230" s="382">
        <f t="shared" si="96"/>
        <v>0</v>
      </c>
      <c r="Z230" s="343">
        <f t="shared" si="97"/>
        <v>0</v>
      </c>
      <c r="AA230" s="343">
        <f t="shared" si="98"/>
        <v>0</v>
      </c>
      <c r="AB230" s="343">
        <f t="shared" si="99"/>
        <v>0</v>
      </c>
      <c r="AC230" s="383">
        <f t="shared" si="100"/>
        <v>0</v>
      </c>
      <c r="AD230" s="344">
        <f t="shared" si="101"/>
        <v>0</v>
      </c>
      <c r="AE230" s="344">
        <f t="shared" si="102"/>
        <v>0</v>
      </c>
      <c r="AF230" s="344">
        <f t="shared" si="103"/>
        <v>0</v>
      </c>
      <c r="AG230" s="345">
        <f t="shared" si="104"/>
        <v>0</v>
      </c>
      <c r="AH230" s="345">
        <f t="shared" si="105"/>
        <v>0</v>
      </c>
      <c r="AI230" s="345">
        <f t="shared" si="106"/>
        <v>0</v>
      </c>
      <c r="AJ230" s="306">
        <f t="shared" si="116"/>
        <v>0</v>
      </c>
      <c r="AK230" s="306">
        <f t="shared" si="117"/>
        <v>0</v>
      </c>
      <c r="AL230" s="306">
        <f t="shared" si="118"/>
        <v>0</v>
      </c>
      <c r="AM230" s="749"/>
      <c r="AN230" s="763"/>
      <c r="AO230" s="780"/>
      <c r="AP230" s="898">
        <f t="shared" si="110"/>
        <v>0</v>
      </c>
      <c r="AQ230" s="900">
        <f t="shared" si="111"/>
        <v>0</v>
      </c>
      <c r="AR230" s="896">
        <f t="shared" si="112"/>
        <v>0</v>
      </c>
      <c r="AS230" s="780"/>
      <c r="AT230" s="780"/>
      <c r="AU230" s="780"/>
      <c r="AV230" s="780"/>
      <c r="AW230" s="780"/>
      <c r="AX230" s="780"/>
      <c r="AY230" s="780"/>
      <c r="AZ230" s="780"/>
      <c r="BA230" s="780"/>
    </row>
    <row r="231" spans="1:53" x14ac:dyDescent="0.2">
      <c r="A231" s="346"/>
      <c r="B231" s="347"/>
      <c r="C231" s="358"/>
      <c r="D231" s="349"/>
      <c r="E231" s="349"/>
      <c r="F231" s="350"/>
      <c r="G231" s="1211">
        <f t="shared" si="115"/>
        <v>0</v>
      </c>
      <c r="H231" s="339"/>
      <c r="I231" s="339"/>
      <c r="J231" s="339"/>
      <c r="K231" s="339"/>
      <c r="L231" s="339"/>
      <c r="M231" s="339"/>
      <c r="N231" s="339"/>
      <c r="O231" s="339"/>
      <c r="P231" s="339"/>
      <c r="Q231" s="339"/>
      <c r="R231" s="1236">
        <f t="shared" si="113"/>
        <v>0</v>
      </c>
      <c r="S231" s="1237">
        <f t="shared" si="114"/>
        <v>0</v>
      </c>
      <c r="T231" s="341"/>
      <c r="U231" s="381">
        <f t="shared" si="92"/>
        <v>0</v>
      </c>
      <c r="V231" s="342">
        <f t="shared" si="93"/>
        <v>0</v>
      </c>
      <c r="W231" s="342">
        <f t="shared" si="94"/>
        <v>0</v>
      </c>
      <c r="X231" s="342">
        <f t="shared" si="95"/>
        <v>0</v>
      </c>
      <c r="Y231" s="382">
        <f t="shared" si="96"/>
        <v>0</v>
      </c>
      <c r="Z231" s="343">
        <f t="shared" si="97"/>
        <v>0</v>
      </c>
      <c r="AA231" s="343">
        <f t="shared" si="98"/>
        <v>0</v>
      </c>
      <c r="AB231" s="343">
        <f t="shared" si="99"/>
        <v>0</v>
      </c>
      <c r="AC231" s="383">
        <f t="shared" si="100"/>
        <v>0</v>
      </c>
      <c r="AD231" s="344">
        <f t="shared" si="101"/>
        <v>0</v>
      </c>
      <c r="AE231" s="344">
        <f t="shared" si="102"/>
        <v>0</v>
      </c>
      <c r="AF231" s="344">
        <f t="shared" si="103"/>
        <v>0</v>
      </c>
      <c r="AG231" s="345">
        <f t="shared" si="104"/>
        <v>0</v>
      </c>
      <c r="AH231" s="345">
        <f t="shared" si="105"/>
        <v>0</v>
      </c>
      <c r="AI231" s="345">
        <f t="shared" si="106"/>
        <v>0</v>
      </c>
      <c r="AJ231" s="306">
        <f t="shared" si="116"/>
        <v>0</v>
      </c>
      <c r="AK231" s="306">
        <f t="shared" si="117"/>
        <v>0</v>
      </c>
      <c r="AL231" s="306">
        <f t="shared" si="118"/>
        <v>0</v>
      </c>
      <c r="AM231" s="749"/>
      <c r="AN231" s="763"/>
      <c r="AO231" s="780"/>
      <c r="AP231" s="898">
        <f t="shared" si="110"/>
        <v>0</v>
      </c>
      <c r="AQ231" s="900">
        <f t="shared" si="111"/>
        <v>0</v>
      </c>
      <c r="AR231" s="896">
        <f t="shared" si="112"/>
        <v>0</v>
      </c>
      <c r="AS231" s="780"/>
      <c r="AT231" s="780"/>
      <c r="AU231" s="780"/>
      <c r="AV231" s="780"/>
      <c r="AW231" s="780"/>
      <c r="AX231" s="780"/>
      <c r="AY231" s="780"/>
      <c r="AZ231" s="780"/>
      <c r="BA231" s="780"/>
    </row>
    <row r="232" spans="1:53" x14ac:dyDescent="0.2">
      <c r="A232" s="346"/>
      <c r="B232" s="347"/>
      <c r="C232" s="358"/>
      <c r="D232" s="349"/>
      <c r="E232" s="349"/>
      <c r="F232" s="350"/>
      <c r="G232" s="1211">
        <f t="shared" si="115"/>
        <v>0</v>
      </c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1236">
        <f t="shared" si="113"/>
        <v>0</v>
      </c>
      <c r="S232" s="1237">
        <f t="shared" si="114"/>
        <v>0</v>
      </c>
      <c r="T232" s="341"/>
      <c r="U232" s="381">
        <f t="shared" si="92"/>
        <v>0</v>
      </c>
      <c r="V232" s="342">
        <f t="shared" si="93"/>
        <v>0</v>
      </c>
      <c r="W232" s="342">
        <f t="shared" si="94"/>
        <v>0</v>
      </c>
      <c r="X232" s="342">
        <f t="shared" si="95"/>
        <v>0</v>
      </c>
      <c r="Y232" s="382">
        <f t="shared" si="96"/>
        <v>0</v>
      </c>
      <c r="Z232" s="343">
        <f t="shared" si="97"/>
        <v>0</v>
      </c>
      <c r="AA232" s="343">
        <f t="shared" si="98"/>
        <v>0</v>
      </c>
      <c r="AB232" s="343">
        <f t="shared" si="99"/>
        <v>0</v>
      </c>
      <c r="AC232" s="383">
        <f t="shared" si="100"/>
        <v>0</v>
      </c>
      <c r="AD232" s="344">
        <f t="shared" si="101"/>
        <v>0</v>
      </c>
      <c r="AE232" s="344">
        <f t="shared" si="102"/>
        <v>0</v>
      </c>
      <c r="AF232" s="344">
        <f t="shared" si="103"/>
        <v>0</v>
      </c>
      <c r="AG232" s="345">
        <f t="shared" si="104"/>
        <v>0</v>
      </c>
      <c r="AH232" s="345">
        <f t="shared" si="105"/>
        <v>0</v>
      </c>
      <c r="AI232" s="345">
        <f t="shared" si="106"/>
        <v>0</v>
      </c>
      <c r="AJ232" s="306">
        <f t="shared" si="116"/>
        <v>0</v>
      </c>
      <c r="AK232" s="306">
        <f t="shared" si="117"/>
        <v>0</v>
      </c>
      <c r="AL232" s="306">
        <f t="shared" si="118"/>
        <v>0</v>
      </c>
      <c r="AM232" s="749"/>
      <c r="AN232" s="763"/>
      <c r="AO232" s="780"/>
      <c r="AP232" s="898">
        <f t="shared" si="110"/>
        <v>0</v>
      </c>
      <c r="AQ232" s="900">
        <f t="shared" si="111"/>
        <v>0</v>
      </c>
      <c r="AR232" s="896">
        <f t="shared" si="112"/>
        <v>0</v>
      </c>
      <c r="AS232" s="780"/>
      <c r="AT232" s="780"/>
      <c r="AU232" s="780"/>
      <c r="AV232" s="780"/>
      <c r="AW232" s="780"/>
      <c r="AX232" s="780"/>
      <c r="AY232" s="780"/>
      <c r="AZ232" s="780"/>
      <c r="BA232" s="780"/>
    </row>
    <row r="233" spans="1:53" x14ac:dyDescent="0.2">
      <c r="A233" s="346"/>
      <c r="B233" s="347"/>
      <c r="C233" s="358"/>
      <c r="D233" s="349"/>
      <c r="E233" s="349"/>
      <c r="F233" s="350"/>
      <c r="G233" s="1211">
        <f t="shared" ref="G233:G238" si="119">IFERROR(F233*C233,"")</f>
        <v>0</v>
      </c>
      <c r="H233" s="339"/>
      <c r="I233" s="339"/>
      <c r="J233" s="339"/>
      <c r="K233" s="339"/>
      <c r="L233" s="339"/>
      <c r="M233" s="339"/>
      <c r="N233" s="339"/>
      <c r="O233" s="339"/>
      <c r="P233" s="339"/>
      <c r="Q233" s="339"/>
      <c r="R233" s="1236">
        <f t="shared" si="113"/>
        <v>0</v>
      </c>
      <c r="S233" s="1237">
        <f t="shared" si="114"/>
        <v>0</v>
      </c>
      <c r="T233" s="341"/>
      <c r="U233" s="381">
        <f t="shared" si="92"/>
        <v>0</v>
      </c>
      <c r="V233" s="342">
        <f t="shared" si="93"/>
        <v>0</v>
      </c>
      <c r="W233" s="342">
        <f t="shared" si="94"/>
        <v>0</v>
      </c>
      <c r="X233" s="342">
        <f t="shared" si="95"/>
        <v>0</v>
      </c>
      <c r="Y233" s="382">
        <f t="shared" si="96"/>
        <v>0</v>
      </c>
      <c r="Z233" s="343">
        <f t="shared" si="97"/>
        <v>0</v>
      </c>
      <c r="AA233" s="343">
        <f t="shared" si="98"/>
        <v>0</v>
      </c>
      <c r="AB233" s="343">
        <f t="shared" si="99"/>
        <v>0</v>
      </c>
      <c r="AC233" s="383">
        <f t="shared" si="100"/>
        <v>0</v>
      </c>
      <c r="AD233" s="344">
        <f t="shared" si="101"/>
        <v>0</v>
      </c>
      <c r="AE233" s="344">
        <f t="shared" si="102"/>
        <v>0</v>
      </c>
      <c r="AF233" s="344">
        <f t="shared" si="103"/>
        <v>0</v>
      </c>
      <c r="AG233" s="345">
        <f t="shared" si="104"/>
        <v>0</v>
      </c>
      <c r="AH233" s="345">
        <f t="shared" si="105"/>
        <v>0</v>
      </c>
      <c r="AI233" s="345">
        <f t="shared" si="106"/>
        <v>0</v>
      </c>
      <c r="AJ233" s="306">
        <f t="shared" si="116"/>
        <v>0</v>
      </c>
      <c r="AK233" s="306">
        <f t="shared" si="117"/>
        <v>0</v>
      </c>
      <c r="AL233" s="306">
        <f t="shared" si="118"/>
        <v>0</v>
      </c>
      <c r="AM233" s="749"/>
      <c r="AN233" s="763"/>
      <c r="AO233" s="780"/>
      <c r="AP233" s="898">
        <f t="shared" si="110"/>
        <v>0</v>
      </c>
      <c r="AQ233" s="900">
        <f t="shared" si="111"/>
        <v>0</v>
      </c>
      <c r="AR233" s="896">
        <f t="shared" si="112"/>
        <v>0</v>
      </c>
      <c r="AS233" s="780"/>
      <c r="AT233" s="780"/>
      <c r="AU233" s="780"/>
      <c r="AV233" s="780"/>
      <c r="AW233" s="780"/>
      <c r="AX233" s="780"/>
      <c r="AY233" s="780"/>
      <c r="AZ233" s="780"/>
      <c r="BA233" s="780"/>
    </row>
    <row r="234" spans="1:53" x14ac:dyDescent="0.2">
      <c r="A234" s="346"/>
      <c r="B234" s="347"/>
      <c r="C234" s="358"/>
      <c r="D234" s="349"/>
      <c r="E234" s="349"/>
      <c r="F234" s="350"/>
      <c r="G234" s="1211">
        <f t="shared" si="119"/>
        <v>0</v>
      </c>
      <c r="H234" s="339"/>
      <c r="I234" s="339"/>
      <c r="J234" s="339"/>
      <c r="K234" s="339"/>
      <c r="L234" s="339"/>
      <c r="M234" s="339"/>
      <c r="N234" s="339"/>
      <c r="O234" s="339"/>
      <c r="P234" s="339"/>
      <c r="Q234" s="339"/>
      <c r="R234" s="1236">
        <f t="shared" si="113"/>
        <v>0</v>
      </c>
      <c r="S234" s="1237">
        <f t="shared" si="114"/>
        <v>0</v>
      </c>
      <c r="T234" s="341"/>
      <c r="U234" s="381">
        <f t="shared" si="92"/>
        <v>0</v>
      </c>
      <c r="V234" s="342">
        <f t="shared" si="93"/>
        <v>0</v>
      </c>
      <c r="W234" s="342">
        <f t="shared" si="94"/>
        <v>0</v>
      </c>
      <c r="X234" s="342">
        <f t="shared" si="95"/>
        <v>0</v>
      </c>
      <c r="Y234" s="382">
        <f t="shared" si="96"/>
        <v>0</v>
      </c>
      <c r="Z234" s="343">
        <f t="shared" si="97"/>
        <v>0</v>
      </c>
      <c r="AA234" s="343">
        <f t="shared" si="98"/>
        <v>0</v>
      </c>
      <c r="AB234" s="343">
        <f t="shared" si="99"/>
        <v>0</v>
      </c>
      <c r="AC234" s="383">
        <f t="shared" si="100"/>
        <v>0</v>
      </c>
      <c r="AD234" s="344">
        <f t="shared" si="101"/>
        <v>0</v>
      </c>
      <c r="AE234" s="344">
        <f t="shared" si="102"/>
        <v>0</v>
      </c>
      <c r="AF234" s="344">
        <f t="shared" si="103"/>
        <v>0</v>
      </c>
      <c r="AG234" s="345">
        <f t="shared" si="104"/>
        <v>0</v>
      </c>
      <c r="AH234" s="345">
        <f t="shared" si="105"/>
        <v>0</v>
      </c>
      <c r="AI234" s="345">
        <f t="shared" si="106"/>
        <v>0</v>
      </c>
      <c r="AJ234" s="306">
        <f t="shared" si="116"/>
        <v>0</v>
      </c>
      <c r="AK234" s="306">
        <f t="shared" si="117"/>
        <v>0</v>
      </c>
      <c r="AL234" s="306">
        <f t="shared" si="118"/>
        <v>0</v>
      </c>
      <c r="AM234" s="749"/>
      <c r="AN234" s="763"/>
      <c r="AO234" s="780"/>
      <c r="AP234" s="898">
        <f t="shared" si="110"/>
        <v>0</v>
      </c>
      <c r="AQ234" s="900">
        <f t="shared" si="111"/>
        <v>0</v>
      </c>
      <c r="AR234" s="896">
        <f t="shared" si="112"/>
        <v>0</v>
      </c>
      <c r="AS234" s="780"/>
      <c r="AT234" s="780"/>
      <c r="AU234" s="780"/>
      <c r="AV234" s="780"/>
      <c r="AW234" s="780"/>
      <c r="AX234" s="780"/>
      <c r="AY234" s="780"/>
      <c r="AZ234" s="780"/>
      <c r="BA234" s="780"/>
    </row>
    <row r="235" spans="1:53" x14ac:dyDescent="0.2">
      <c r="A235" s="346"/>
      <c r="B235" s="347"/>
      <c r="C235" s="358"/>
      <c r="D235" s="349"/>
      <c r="E235" s="349"/>
      <c r="F235" s="350"/>
      <c r="G235" s="1211">
        <f t="shared" si="119"/>
        <v>0</v>
      </c>
      <c r="H235" s="339"/>
      <c r="I235" s="339"/>
      <c r="J235" s="339"/>
      <c r="K235" s="339"/>
      <c r="L235" s="339"/>
      <c r="M235" s="339"/>
      <c r="N235" s="339"/>
      <c r="O235" s="339"/>
      <c r="P235" s="339"/>
      <c r="Q235" s="339"/>
      <c r="R235" s="1236">
        <f t="shared" si="113"/>
        <v>0</v>
      </c>
      <c r="S235" s="1237">
        <f t="shared" si="114"/>
        <v>0</v>
      </c>
      <c r="T235" s="341"/>
      <c r="U235" s="381">
        <f t="shared" si="92"/>
        <v>0</v>
      </c>
      <c r="V235" s="342">
        <f t="shared" si="93"/>
        <v>0</v>
      </c>
      <c r="W235" s="342">
        <f t="shared" si="94"/>
        <v>0</v>
      </c>
      <c r="X235" s="342">
        <f t="shared" si="95"/>
        <v>0</v>
      </c>
      <c r="Y235" s="382">
        <f t="shared" si="96"/>
        <v>0</v>
      </c>
      <c r="Z235" s="343">
        <f t="shared" si="97"/>
        <v>0</v>
      </c>
      <c r="AA235" s="343">
        <f t="shared" si="98"/>
        <v>0</v>
      </c>
      <c r="AB235" s="343">
        <f t="shared" si="99"/>
        <v>0</v>
      </c>
      <c r="AC235" s="383">
        <f t="shared" si="100"/>
        <v>0</v>
      </c>
      <c r="AD235" s="344">
        <f t="shared" si="101"/>
        <v>0</v>
      </c>
      <c r="AE235" s="344">
        <f t="shared" si="102"/>
        <v>0</v>
      </c>
      <c r="AF235" s="344">
        <f t="shared" si="103"/>
        <v>0</v>
      </c>
      <c r="AG235" s="345">
        <f t="shared" si="104"/>
        <v>0</v>
      </c>
      <c r="AH235" s="345">
        <f t="shared" si="105"/>
        <v>0</v>
      </c>
      <c r="AI235" s="345">
        <f t="shared" si="106"/>
        <v>0</v>
      </c>
      <c r="AJ235" s="306">
        <f t="shared" si="116"/>
        <v>0</v>
      </c>
      <c r="AK235" s="306">
        <f t="shared" si="117"/>
        <v>0</v>
      </c>
      <c r="AL235" s="306">
        <f t="shared" si="118"/>
        <v>0</v>
      </c>
      <c r="AM235" s="749"/>
      <c r="AN235" s="763"/>
      <c r="AO235" s="780"/>
      <c r="AP235" s="898">
        <f t="shared" si="110"/>
        <v>0</v>
      </c>
      <c r="AQ235" s="900">
        <f t="shared" si="111"/>
        <v>0</v>
      </c>
      <c r="AR235" s="896">
        <f t="shared" si="112"/>
        <v>0</v>
      </c>
      <c r="AS235" s="780"/>
      <c r="AT235" s="780"/>
      <c r="AU235" s="780"/>
      <c r="AV235" s="780"/>
      <c r="AW235" s="780"/>
      <c r="AX235" s="780"/>
      <c r="AY235" s="780"/>
      <c r="AZ235" s="780"/>
      <c r="BA235" s="780"/>
    </row>
    <row r="236" spans="1:53" x14ac:dyDescent="0.2">
      <c r="A236" s="346"/>
      <c r="B236" s="347"/>
      <c r="C236" s="358"/>
      <c r="D236" s="349"/>
      <c r="E236" s="349"/>
      <c r="F236" s="350"/>
      <c r="G236" s="1211">
        <f t="shared" si="119"/>
        <v>0</v>
      </c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1236">
        <f t="shared" si="113"/>
        <v>0</v>
      </c>
      <c r="S236" s="1237">
        <f t="shared" si="114"/>
        <v>0</v>
      </c>
      <c r="T236" s="341"/>
      <c r="U236" s="381">
        <f t="shared" si="92"/>
        <v>0</v>
      </c>
      <c r="V236" s="342">
        <f t="shared" si="93"/>
        <v>0</v>
      </c>
      <c r="W236" s="342">
        <f t="shared" si="94"/>
        <v>0</v>
      </c>
      <c r="X236" s="342">
        <f t="shared" si="95"/>
        <v>0</v>
      </c>
      <c r="Y236" s="382">
        <f t="shared" si="96"/>
        <v>0</v>
      </c>
      <c r="Z236" s="343">
        <f t="shared" si="97"/>
        <v>0</v>
      </c>
      <c r="AA236" s="343">
        <f t="shared" si="98"/>
        <v>0</v>
      </c>
      <c r="AB236" s="343">
        <f t="shared" si="99"/>
        <v>0</v>
      </c>
      <c r="AC236" s="383">
        <f t="shared" si="100"/>
        <v>0</v>
      </c>
      <c r="AD236" s="344">
        <f t="shared" si="101"/>
        <v>0</v>
      </c>
      <c r="AE236" s="344">
        <f t="shared" si="102"/>
        <v>0</v>
      </c>
      <c r="AF236" s="344">
        <f t="shared" si="103"/>
        <v>0</v>
      </c>
      <c r="AG236" s="345">
        <f t="shared" si="104"/>
        <v>0</v>
      </c>
      <c r="AH236" s="345">
        <f t="shared" si="105"/>
        <v>0</v>
      </c>
      <c r="AI236" s="345">
        <f t="shared" si="106"/>
        <v>0</v>
      </c>
      <c r="AJ236" s="306">
        <f t="shared" si="116"/>
        <v>0</v>
      </c>
      <c r="AK236" s="306">
        <f t="shared" si="117"/>
        <v>0</v>
      </c>
      <c r="AL236" s="306">
        <f t="shared" si="118"/>
        <v>0</v>
      </c>
      <c r="AM236" s="749"/>
      <c r="AN236" s="763"/>
      <c r="AO236" s="780"/>
      <c r="AP236" s="898">
        <f t="shared" si="110"/>
        <v>0</v>
      </c>
      <c r="AQ236" s="900">
        <f t="shared" si="111"/>
        <v>0</v>
      </c>
      <c r="AR236" s="896">
        <f t="shared" si="112"/>
        <v>0</v>
      </c>
      <c r="AS236" s="780"/>
      <c r="AT236" s="780"/>
      <c r="AU236" s="780"/>
      <c r="AV236" s="780"/>
      <c r="AW236" s="780"/>
      <c r="AX236" s="780"/>
      <c r="AY236" s="780"/>
      <c r="AZ236" s="780"/>
      <c r="BA236" s="780"/>
    </row>
    <row r="237" spans="1:53" x14ac:dyDescent="0.2">
      <c r="A237" s="346"/>
      <c r="B237" s="347"/>
      <c r="C237" s="358"/>
      <c r="D237" s="349"/>
      <c r="E237" s="349"/>
      <c r="F237" s="350"/>
      <c r="G237" s="1211">
        <f t="shared" si="119"/>
        <v>0</v>
      </c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1236">
        <f t="shared" si="113"/>
        <v>0</v>
      </c>
      <c r="S237" s="1237">
        <f t="shared" si="114"/>
        <v>0</v>
      </c>
      <c r="T237" s="341"/>
      <c r="U237" s="381">
        <f t="shared" si="92"/>
        <v>0</v>
      </c>
      <c r="V237" s="342">
        <f t="shared" si="93"/>
        <v>0</v>
      </c>
      <c r="W237" s="342">
        <f t="shared" si="94"/>
        <v>0</v>
      </c>
      <c r="X237" s="342">
        <f t="shared" si="95"/>
        <v>0</v>
      </c>
      <c r="Y237" s="382">
        <f t="shared" si="96"/>
        <v>0</v>
      </c>
      <c r="Z237" s="343">
        <f t="shared" si="97"/>
        <v>0</v>
      </c>
      <c r="AA237" s="343">
        <f t="shared" si="98"/>
        <v>0</v>
      </c>
      <c r="AB237" s="343">
        <f t="shared" si="99"/>
        <v>0</v>
      </c>
      <c r="AC237" s="383">
        <f t="shared" si="100"/>
        <v>0</v>
      </c>
      <c r="AD237" s="344">
        <f t="shared" si="101"/>
        <v>0</v>
      </c>
      <c r="AE237" s="344">
        <f t="shared" si="102"/>
        <v>0</v>
      </c>
      <c r="AF237" s="344">
        <f t="shared" si="103"/>
        <v>0</v>
      </c>
      <c r="AG237" s="345">
        <f t="shared" si="104"/>
        <v>0</v>
      </c>
      <c r="AH237" s="345">
        <f t="shared" si="105"/>
        <v>0</v>
      </c>
      <c r="AI237" s="345">
        <f t="shared" si="106"/>
        <v>0</v>
      </c>
      <c r="AJ237" s="306">
        <f t="shared" si="116"/>
        <v>0</v>
      </c>
      <c r="AK237" s="306">
        <f t="shared" si="117"/>
        <v>0</v>
      </c>
      <c r="AL237" s="306">
        <f t="shared" si="118"/>
        <v>0</v>
      </c>
      <c r="AM237" s="749"/>
      <c r="AN237" s="763"/>
      <c r="AO237" s="780"/>
      <c r="AP237" s="898">
        <f t="shared" si="110"/>
        <v>0</v>
      </c>
      <c r="AQ237" s="900">
        <f t="shared" si="111"/>
        <v>0</v>
      </c>
      <c r="AR237" s="896">
        <f t="shared" si="112"/>
        <v>0</v>
      </c>
      <c r="AS237" s="780"/>
      <c r="AT237" s="780"/>
      <c r="AU237" s="780"/>
      <c r="AV237" s="780"/>
      <c r="AW237" s="780"/>
      <c r="AX237" s="780"/>
      <c r="AY237" s="780"/>
      <c r="AZ237" s="780"/>
      <c r="BA237" s="780"/>
    </row>
    <row r="238" spans="1:53" x14ac:dyDescent="0.2">
      <c r="A238" s="346"/>
      <c r="B238" s="347"/>
      <c r="C238" s="358"/>
      <c r="D238" s="349"/>
      <c r="E238" s="349"/>
      <c r="F238" s="350"/>
      <c r="G238" s="1211">
        <f t="shared" si="119"/>
        <v>0</v>
      </c>
      <c r="H238" s="339"/>
      <c r="I238" s="339"/>
      <c r="J238" s="339"/>
      <c r="K238" s="339"/>
      <c r="L238" s="339"/>
      <c r="M238" s="339"/>
      <c r="N238" s="339"/>
      <c r="O238" s="339"/>
      <c r="P238" s="339"/>
      <c r="Q238" s="339"/>
      <c r="R238" s="1236">
        <f t="shared" si="113"/>
        <v>0</v>
      </c>
      <c r="S238" s="1237">
        <f t="shared" si="114"/>
        <v>0</v>
      </c>
      <c r="T238" s="341"/>
      <c r="U238" s="381">
        <f t="shared" si="92"/>
        <v>0</v>
      </c>
      <c r="V238" s="342">
        <f t="shared" si="93"/>
        <v>0</v>
      </c>
      <c r="W238" s="342">
        <f t="shared" si="94"/>
        <v>0</v>
      </c>
      <c r="X238" s="342">
        <f t="shared" si="95"/>
        <v>0</v>
      </c>
      <c r="Y238" s="382">
        <f t="shared" si="96"/>
        <v>0</v>
      </c>
      <c r="Z238" s="343">
        <f t="shared" si="97"/>
        <v>0</v>
      </c>
      <c r="AA238" s="343">
        <f t="shared" si="98"/>
        <v>0</v>
      </c>
      <c r="AB238" s="343">
        <f t="shared" si="99"/>
        <v>0</v>
      </c>
      <c r="AC238" s="383">
        <f t="shared" si="100"/>
        <v>0</v>
      </c>
      <c r="AD238" s="344">
        <f t="shared" si="101"/>
        <v>0</v>
      </c>
      <c r="AE238" s="344">
        <f t="shared" si="102"/>
        <v>0</v>
      </c>
      <c r="AF238" s="344">
        <f t="shared" si="103"/>
        <v>0</v>
      </c>
      <c r="AG238" s="345">
        <f t="shared" si="104"/>
        <v>0</v>
      </c>
      <c r="AH238" s="345">
        <f t="shared" si="105"/>
        <v>0</v>
      </c>
      <c r="AI238" s="345">
        <f t="shared" si="106"/>
        <v>0</v>
      </c>
      <c r="AJ238" s="306">
        <f t="shared" si="116"/>
        <v>0</v>
      </c>
      <c r="AK238" s="306">
        <f t="shared" si="117"/>
        <v>0</v>
      </c>
      <c r="AL238" s="306">
        <f t="shared" si="118"/>
        <v>0</v>
      </c>
      <c r="AM238" s="749"/>
      <c r="AN238" s="763"/>
      <c r="AO238" s="780"/>
      <c r="AP238" s="898">
        <f t="shared" si="110"/>
        <v>0</v>
      </c>
      <c r="AQ238" s="900">
        <f t="shared" si="111"/>
        <v>0</v>
      </c>
      <c r="AR238" s="896">
        <f t="shared" si="112"/>
        <v>0</v>
      </c>
      <c r="AS238" s="780"/>
      <c r="AT238" s="780"/>
      <c r="AU238" s="780"/>
      <c r="AV238" s="780"/>
      <c r="AW238" s="780"/>
      <c r="AX238" s="780"/>
      <c r="AY238" s="780"/>
      <c r="AZ238" s="780"/>
      <c r="BA238" s="780"/>
    </row>
    <row r="239" spans="1:53" x14ac:dyDescent="0.2">
      <c r="A239" s="346"/>
      <c r="B239" s="347"/>
      <c r="C239" s="358"/>
      <c r="D239" s="349"/>
      <c r="E239" s="349"/>
      <c r="F239" s="350"/>
      <c r="G239" s="1211">
        <f t="shared" si="89"/>
        <v>0</v>
      </c>
      <c r="H239" s="339"/>
      <c r="I239" s="339"/>
      <c r="J239" s="339"/>
      <c r="K239" s="339"/>
      <c r="L239" s="339"/>
      <c r="M239" s="339"/>
      <c r="N239" s="339"/>
      <c r="O239" s="339"/>
      <c r="P239" s="339"/>
      <c r="Q239" s="339"/>
      <c r="R239" s="1236">
        <f t="shared" si="113"/>
        <v>0</v>
      </c>
      <c r="S239" s="1237">
        <f t="shared" si="114"/>
        <v>0</v>
      </c>
      <c r="T239" s="341"/>
      <c r="U239" s="381">
        <f t="shared" si="92"/>
        <v>0</v>
      </c>
      <c r="V239" s="342">
        <f t="shared" si="93"/>
        <v>0</v>
      </c>
      <c r="W239" s="342">
        <f t="shared" si="94"/>
        <v>0</v>
      </c>
      <c r="X239" s="342">
        <f t="shared" si="95"/>
        <v>0</v>
      </c>
      <c r="Y239" s="382">
        <f t="shared" si="96"/>
        <v>0</v>
      </c>
      <c r="Z239" s="343">
        <f t="shared" si="97"/>
        <v>0</v>
      </c>
      <c r="AA239" s="343">
        <f t="shared" si="98"/>
        <v>0</v>
      </c>
      <c r="AB239" s="343">
        <f t="shared" si="99"/>
        <v>0</v>
      </c>
      <c r="AC239" s="383">
        <f t="shared" si="100"/>
        <v>0</v>
      </c>
      <c r="AD239" s="344">
        <f t="shared" si="101"/>
        <v>0</v>
      </c>
      <c r="AE239" s="344">
        <f t="shared" si="102"/>
        <v>0</v>
      </c>
      <c r="AF239" s="344">
        <f t="shared" si="103"/>
        <v>0</v>
      </c>
      <c r="AG239" s="345">
        <f t="shared" si="104"/>
        <v>0</v>
      </c>
      <c r="AH239" s="345">
        <f t="shared" si="105"/>
        <v>0</v>
      </c>
      <c r="AI239" s="345">
        <f t="shared" si="106"/>
        <v>0</v>
      </c>
      <c r="AJ239" s="306">
        <f t="shared" si="116"/>
        <v>0</v>
      </c>
      <c r="AK239" s="306">
        <f t="shared" si="117"/>
        <v>0</v>
      </c>
      <c r="AL239" s="306">
        <f t="shared" si="118"/>
        <v>0</v>
      </c>
      <c r="AM239" s="749"/>
      <c r="AN239" s="763"/>
      <c r="AO239" s="780"/>
      <c r="AP239" s="898">
        <f t="shared" si="110"/>
        <v>0</v>
      </c>
      <c r="AQ239" s="900">
        <f t="shared" si="111"/>
        <v>0</v>
      </c>
      <c r="AR239" s="896">
        <f t="shared" si="112"/>
        <v>0</v>
      </c>
      <c r="AS239" s="780"/>
      <c r="AT239" s="780"/>
      <c r="AU239" s="780"/>
      <c r="AV239" s="780"/>
      <c r="AW239" s="780"/>
      <c r="AX239" s="780"/>
      <c r="AY239" s="780"/>
      <c r="AZ239" s="780"/>
      <c r="BA239" s="780"/>
    </row>
    <row r="240" spans="1:53" x14ac:dyDescent="0.2">
      <c r="A240" s="346"/>
      <c r="B240" s="347"/>
      <c r="C240" s="358"/>
      <c r="D240" s="349"/>
      <c r="E240" s="349"/>
      <c r="F240" s="350"/>
      <c r="G240" s="1211">
        <f t="shared" si="89"/>
        <v>0</v>
      </c>
      <c r="H240" s="339"/>
      <c r="I240" s="339"/>
      <c r="J240" s="339"/>
      <c r="K240" s="339"/>
      <c r="L240" s="339"/>
      <c r="M240" s="339"/>
      <c r="N240" s="339"/>
      <c r="O240" s="339"/>
      <c r="P240" s="339"/>
      <c r="Q240" s="339"/>
      <c r="R240" s="1236">
        <f t="shared" si="113"/>
        <v>0</v>
      </c>
      <c r="S240" s="1237">
        <f t="shared" si="114"/>
        <v>0</v>
      </c>
      <c r="T240" s="341"/>
      <c r="U240" s="381">
        <f>(IF(AND($B240="PFK/BFK",$C240&gt;0,$F240&gt;0),($G240+$H240),0))</f>
        <v>0</v>
      </c>
      <c r="V240" s="342">
        <f>(IF(AND($B240="PFK/BFK",$C240&gt;0,$F240&gt;0),$I240,0))</f>
        <v>0</v>
      </c>
      <c r="W240" s="342">
        <f>(IF(AND($B240="PFK/BFK",$C240&gt;0,$F240&gt;0),($J240+$K240),0))</f>
        <v>0</v>
      </c>
      <c r="X240" s="342">
        <f>(IF(AND($B240="PFK/BFK",$C240&gt;0,$F240&gt;0),(($N240+$O240)/12),0))</f>
        <v>0</v>
      </c>
      <c r="Y240" s="382">
        <f>(IF(AND($B240="PK/BK",$C240&gt;0,$F240&gt;0),($G240+$H240),0))</f>
        <v>0</v>
      </c>
      <c r="Z240" s="343">
        <f>(IF(AND($B240="PK/BK",$C240&gt;0,$F240&gt;0),$I240,0))</f>
        <v>0</v>
      </c>
      <c r="AA240" s="343">
        <f>(IF(AND($B240="PK/BK",$C240&gt;0,$F240&gt;0),($J240+$K240),0))</f>
        <v>0</v>
      </c>
      <c r="AB240" s="343">
        <f>(IF(AND($B240="PK/BK",$C240&gt;0,$F240&gt;0),(($N240+$O240)/12),0))</f>
        <v>0</v>
      </c>
      <c r="AC240" s="383">
        <f>(IF(AND($B240="PK/BK o.",$C240&gt;0,$F240&gt;0),($G240+$H240),0))</f>
        <v>0</v>
      </c>
      <c r="AD240" s="344">
        <f>(IF(AND($B240="PK/BK o.",$C240&gt;0,$F240&gt;0),$I240,0))</f>
        <v>0</v>
      </c>
      <c r="AE240" s="344">
        <f>(IF(AND($B240="PK/BK o.",$C240&gt;0,$F240&gt;0),($J240+$K240),0))</f>
        <v>0</v>
      </c>
      <c r="AF240" s="344">
        <f>(IF(AND($B240="PK/BK o.",$C240&gt;0,$F240&gt;0),(($N240+$O240)/12),0))</f>
        <v>0</v>
      </c>
      <c r="AG240" s="345">
        <f>IF(AND($B240="PFK/BFK",$C240&gt;0,$F240&gt;0),$C240,0)</f>
        <v>0</v>
      </c>
      <c r="AH240" s="345">
        <f>IF(AND($B240="PK/BK",$C240&gt;0,$F240&gt;0),$C240,0)</f>
        <v>0</v>
      </c>
      <c r="AI240" s="345">
        <f>IF(AND($B240="PK/BK o.",$C240&gt;0,$F240&gt;0),$C240,0)</f>
        <v>0</v>
      </c>
      <c r="AJ240" s="306">
        <f t="shared" si="116"/>
        <v>0</v>
      </c>
      <c r="AK240" s="306">
        <f t="shared" si="117"/>
        <v>0</v>
      </c>
      <c r="AL240" s="306">
        <f t="shared" si="118"/>
        <v>0</v>
      </c>
      <c r="AM240" s="749"/>
      <c r="AN240" s="763"/>
      <c r="AO240" s="780"/>
      <c r="AP240" s="898">
        <f t="shared" si="110"/>
        <v>0</v>
      </c>
      <c r="AQ240" s="900">
        <f t="shared" si="111"/>
        <v>0</v>
      </c>
      <c r="AR240" s="896">
        <f t="shared" si="112"/>
        <v>0</v>
      </c>
      <c r="AS240" s="780"/>
      <c r="AT240" s="780"/>
      <c r="AU240" s="780"/>
      <c r="AV240" s="780"/>
      <c r="AW240" s="780"/>
      <c r="AX240" s="780"/>
      <c r="AY240" s="780"/>
      <c r="AZ240" s="780"/>
      <c r="BA240" s="780"/>
    </row>
    <row r="241" spans="1:58" x14ac:dyDescent="0.2">
      <c r="A241" s="346"/>
      <c r="B241" s="347"/>
      <c r="C241" s="358"/>
      <c r="D241" s="349"/>
      <c r="E241" s="349"/>
      <c r="F241" s="350"/>
      <c r="G241" s="1211">
        <f t="shared" si="89"/>
        <v>0</v>
      </c>
      <c r="H241" s="339"/>
      <c r="I241" s="339"/>
      <c r="J241" s="339"/>
      <c r="K241" s="339"/>
      <c r="L241" s="339"/>
      <c r="M241" s="339"/>
      <c r="N241" s="339"/>
      <c r="O241" s="339"/>
      <c r="P241" s="339"/>
      <c r="Q241" s="339"/>
      <c r="R241" s="1236">
        <f t="shared" si="113"/>
        <v>0</v>
      </c>
      <c r="S241" s="1237">
        <f t="shared" si="114"/>
        <v>0</v>
      </c>
      <c r="T241" s="341"/>
      <c r="U241" s="381">
        <f>(IF(AND($B241="PFK/BFK",$C241&gt;0,$F241&gt;0),($G241+$H241),0))</f>
        <v>0</v>
      </c>
      <c r="V241" s="342">
        <f>(IF(AND($B241="PFK/BFK",$C241&gt;0,$F241&gt;0),$I241,0))</f>
        <v>0</v>
      </c>
      <c r="W241" s="342">
        <f>(IF(AND($B241="PFK/BFK",$C241&gt;0,$F241&gt;0),($J241+$K241),0))</f>
        <v>0</v>
      </c>
      <c r="X241" s="342">
        <f>(IF(AND($B241="PFK/BFK",$C241&gt;0,$F241&gt;0),(($N241+$O241)/12),0))</f>
        <v>0</v>
      </c>
      <c r="Y241" s="382">
        <f>(IF(AND($B241="PK/BK",$C241&gt;0,$F241&gt;0),($G241+$H241),0))</f>
        <v>0</v>
      </c>
      <c r="Z241" s="343">
        <f>(IF(AND($B241="PK/BK",$C241&gt;0,$F241&gt;0),$I241,0))</f>
        <v>0</v>
      </c>
      <c r="AA241" s="343">
        <f>(IF(AND($B241="PK/BK",$C241&gt;0,$F241&gt;0),($J241+$K241),0))</f>
        <v>0</v>
      </c>
      <c r="AB241" s="343">
        <f>(IF(AND($B241="PK/BK",$C241&gt;0,$F241&gt;0),(($N241+$O241)/12),0))</f>
        <v>0</v>
      </c>
      <c r="AC241" s="383">
        <f>(IF(AND($B241="PK/BK o.",$C241&gt;0,$F241&gt;0),($G241+$H241),0))</f>
        <v>0</v>
      </c>
      <c r="AD241" s="344">
        <f>(IF(AND($B241="PK/BK o.",$C241&gt;0,$F241&gt;0),$I241,0))</f>
        <v>0</v>
      </c>
      <c r="AE241" s="344">
        <f>(IF(AND($B241="PK/BK o.",$C241&gt;0,$F241&gt;0),($J241+$K241),0))</f>
        <v>0</v>
      </c>
      <c r="AF241" s="344">
        <f>(IF(AND($B241="PK/BK o.",$C241&gt;0,$F241&gt;0),(($N241+$O241)/12),0))</f>
        <v>0</v>
      </c>
      <c r="AG241" s="345">
        <f>IF(AND($B241="PFK/BFK",$C241&gt;0,$F241&gt;0),$C241,0)</f>
        <v>0</v>
      </c>
      <c r="AH241" s="345">
        <f>IF(AND($B241="PK/BK",$C241&gt;0,$F241&gt;0),$C241,0)</f>
        <v>0</v>
      </c>
      <c r="AI241" s="345">
        <f>IF(AND($B241="PK/BK o.",$C241&gt;0,$F241&gt;0),$C241,0)</f>
        <v>0</v>
      </c>
      <c r="AJ241" s="306">
        <f t="shared" si="116"/>
        <v>0</v>
      </c>
      <c r="AK241" s="306">
        <f t="shared" si="117"/>
        <v>0</v>
      </c>
      <c r="AL241" s="306">
        <f t="shared" si="118"/>
        <v>0</v>
      </c>
      <c r="AM241" s="749"/>
      <c r="AN241" s="763"/>
      <c r="AO241" s="780"/>
      <c r="AP241" s="898">
        <f t="shared" si="110"/>
        <v>0</v>
      </c>
      <c r="AQ241" s="900">
        <f t="shared" si="111"/>
        <v>0</v>
      </c>
      <c r="AR241" s="896">
        <f t="shared" si="112"/>
        <v>0</v>
      </c>
      <c r="AS241" s="780"/>
      <c r="AT241" s="780"/>
      <c r="AU241" s="780"/>
      <c r="AV241" s="780"/>
      <c r="AW241" s="780"/>
      <c r="AX241" s="780"/>
      <c r="AY241" s="780"/>
      <c r="AZ241" s="780"/>
      <c r="BA241" s="780"/>
    </row>
    <row r="242" spans="1:58" x14ac:dyDescent="0.2">
      <c r="A242" s="346"/>
      <c r="B242" s="347"/>
      <c r="C242" s="358"/>
      <c r="D242" s="349"/>
      <c r="E242" s="349"/>
      <c r="F242" s="350"/>
      <c r="G242" s="1211">
        <f t="shared" si="89"/>
        <v>0</v>
      </c>
      <c r="H242" s="339"/>
      <c r="I242" s="339"/>
      <c r="J242" s="339"/>
      <c r="K242" s="339"/>
      <c r="L242" s="339"/>
      <c r="M242" s="339"/>
      <c r="N242" s="339"/>
      <c r="O242" s="339"/>
      <c r="P242" s="339"/>
      <c r="Q242" s="339"/>
      <c r="R242" s="1236">
        <f t="shared" si="113"/>
        <v>0</v>
      </c>
      <c r="S242" s="1237">
        <f t="shared" si="114"/>
        <v>0</v>
      </c>
      <c r="T242" s="341"/>
      <c r="U242" s="381">
        <f t="shared" si="92"/>
        <v>0</v>
      </c>
      <c r="V242" s="342">
        <f t="shared" si="93"/>
        <v>0</v>
      </c>
      <c r="W242" s="342">
        <f t="shared" si="94"/>
        <v>0</v>
      </c>
      <c r="X242" s="342">
        <f t="shared" si="95"/>
        <v>0</v>
      </c>
      <c r="Y242" s="382">
        <f t="shared" si="96"/>
        <v>0</v>
      </c>
      <c r="Z242" s="343">
        <f t="shared" si="97"/>
        <v>0</v>
      </c>
      <c r="AA242" s="343">
        <f t="shared" si="98"/>
        <v>0</v>
      </c>
      <c r="AB242" s="343">
        <f t="shared" si="99"/>
        <v>0</v>
      </c>
      <c r="AC242" s="383">
        <f t="shared" si="100"/>
        <v>0</v>
      </c>
      <c r="AD242" s="344">
        <f t="shared" si="101"/>
        <v>0</v>
      </c>
      <c r="AE242" s="344">
        <f t="shared" si="102"/>
        <v>0</v>
      </c>
      <c r="AF242" s="344">
        <f t="shared" si="103"/>
        <v>0</v>
      </c>
      <c r="AG242" s="345">
        <f t="shared" si="104"/>
        <v>0</v>
      </c>
      <c r="AH242" s="345">
        <f t="shared" si="105"/>
        <v>0</v>
      </c>
      <c r="AI242" s="345">
        <f t="shared" si="106"/>
        <v>0</v>
      </c>
      <c r="AJ242" s="306">
        <f t="shared" si="116"/>
        <v>0</v>
      </c>
      <c r="AK242" s="306">
        <f t="shared" si="117"/>
        <v>0</v>
      </c>
      <c r="AL242" s="306">
        <f t="shared" si="118"/>
        <v>0</v>
      </c>
      <c r="AM242" s="749"/>
      <c r="AN242" s="763"/>
      <c r="AO242" s="780"/>
      <c r="AP242" s="898">
        <f t="shared" si="110"/>
        <v>0</v>
      </c>
      <c r="AQ242" s="900">
        <f t="shared" si="111"/>
        <v>0</v>
      </c>
      <c r="AR242" s="896">
        <f t="shared" si="112"/>
        <v>0</v>
      </c>
      <c r="AS242" s="780"/>
      <c r="AT242" s="780"/>
      <c r="AU242" s="780"/>
      <c r="AV242" s="780"/>
      <c r="AW242" s="780"/>
      <c r="AX242" s="780"/>
      <c r="AY242" s="780"/>
      <c r="AZ242" s="780"/>
      <c r="BA242" s="780"/>
    </row>
    <row r="243" spans="1:58" ht="13.5" thickBot="1" x14ac:dyDescent="0.25">
      <c r="A243" s="346"/>
      <c r="B243" s="347"/>
      <c r="C243" s="358"/>
      <c r="D243" s="349"/>
      <c r="E243" s="349"/>
      <c r="F243" s="350"/>
      <c r="G243" s="1211">
        <f t="shared" si="89"/>
        <v>0</v>
      </c>
      <c r="H243" s="339"/>
      <c r="I243" s="339"/>
      <c r="J243" s="339"/>
      <c r="K243" s="339"/>
      <c r="L243" s="339"/>
      <c r="M243" s="339"/>
      <c r="N243" s="339"/>
      <c r="O243" s="339"/>
      <c r="P243" s="339"/>
      <c r="Q243" s="339"/>
      <c r="R243" s="1236">
        <f t="shared" si="113"/>
        <v>0</v>
      </c>
      <c r="S243" s="1241">
        <f t="shared" si="114"/>
        <v>0</v>
      </c>
      <c r="T243" s="341"/>
      <c r="U243" s="381">
        <f t="shared" si="92"/>
        <v>0</v>
      </c>
      <c r="V243" s="342">
        <f t="shared" si="93"/>
        <v>0</v>
      </c>
      <c r="W243" s="342">
        <f t="shared" si="94"/>
        <v>0</v>
      </c>
      <c r="X243" s="342">
        <f t="shared" si="95"/>
        <v>0</v>
      </c>
      <c r="Y243" s="382">
        <f t="shared" si="96"/>
        <v>0</v>
      </c>
      <c r="Z243" s="343">
        <f t="shared" si="97"/>
        <v>0</v>
      </c>
      <c r="AA243" s="343">
        <f t="shared" si="98"/>
        <v>0</v>
      </c>
      <c r="AB243" s="343">
        <f t="shared" si="99"/>
        <v>0</v>
      </c>
      <c r="AC243" s="383">
        <f t="shared" si="100"/>
        <v>0</v>
      </c>
      <c r="AD243" s="344">
        <f t="shared" si="101"/>
        <v>0</v>
      </c>
      <c r="AE243" s="344">
        <f t="shared" si="102"/>
        <v>0</v>
      </c>
      <c r="AF243" s="344">
        <f t="shared" si="103"/>
        <v>0</v>
      </c>
      <c r="AG243" s="345">
        <f t="shared" si="104"/>
        <v>0</v>
      </c>
      <c r="AH243" s="345">
        <f t="shared" si="105"/>
        <v>0</v>
      </c>
      <c r="AI243" s="345">
        <f t="shared" si="106"/>
        <v>0</v>
      </c>
      <c r="AJ243" s="306">
        <f t="shared" si="116"/>
        <v>0</v>
      </c>
      <c r="AK243" s="306">
        <f t="shared" si="117"/>
        <v>0</v>
      </c>
      <c r="AL243" s="306">
        <f t="shared" si="118"/>
        <v>0</v>
      </c>
      <c r="AM243" s="749"/>
      <c r="AN243" s="763"/>
      <c r="AO243" s="780"/>
      <c r="AP243" s="898">
        <f t="shared" si="110"/>
        <v>0</v>
      </c>
      <c r="AQ243" s="900">
        <f t="shared" si="111"/>
        <v>0</v>
      </c>
      <c r="AR243" s="896">
        <f t="shared" si="112"/>
        <v>0</v>
      </c>
      <c r="AS243" s="780"/>
      <c r="AT243" s="780"/>
      <c r="AU243" s="780"/>
      <c r="AV243" s="780"/>
      <c r="AW243" s="780"/>
      <c r="AX243" s="780"/>
      <c r="AY243" s="780"/>
      <c r="AZ243" s="780"/>
      <c r="BA243" s="780"/>
    </row>
    <row r="244" spans="1:58" ht="13.5" thickBot="1" x14ac:dyDescent="0.25">
      <c r="A244" s="1242" t="s">
        <v>386</v>
      </c>
      <c r="B244" s="1243"/>
      <c r="C244" s="1225">
        <f>SUM(C131:C222,C224:C243)</f>
        <v>0</v>
      </c>
      <c r="D244" s="1226"/>
      <c r="E244" s="1226"/>
      <c r="F244" s="1226"/>
      <c r="G244" s="1244">
        <f>IFERROR(SUM(G131:G222,G224:G243)/$C$244,0)</f>
        <v>0</v>
      </c>
      <c r="H244" s="1227">
        <f t="shared" ref="H244:Q244" si="120">IFERROR(SUM(H131:H222,H224:H243)/$C$244,0)</f>
        <v>0</v>
      </c>
      <c r="I244" s="1227">
        <f t="shared" si="120"/>
        <v>0</v>
      </c>
      <c r="J244" s="1227">
        <f t="shared" si="120"/>
        <v>0</v>
      </c>
      <c r="K244" s="1227">
        <f t="shared" si="120"/>
        <v>0</v>
      </c>
      <c r="L244" s="1227">
        <f t="shared" si="120"/>
        <v>0</v>
      </c>
      <c r="M244" s="1227">
        <f t="shared" si="120"/>
        <v>0</v>
      </c>
      <c r="N244" s="1227">
        <f t="shared" si="120"/>
        <v>0</v>
      </c>
      <c r="O244" s="1227">
        <f t="shared" si="120"/>
        <v>0</v>
      </c>
      <c r="P244" s="1227">
        <f t="shared" si="120"/>
        <v>0</v>
      </c>
      <c r="Q244" s="1227">
        <f t="shared" si="120"/>
        <v>0</v>
      </c>
      <c r="R244" s="1229">
        <f>SUM(R131:R222,R224:R243)</f>
        <v>0</v>
      </c>
      <c r="S244" s="1230">
        <f>IFERROR(SUM(R244/C244),0)</f>
        <v>0</v>
      </c>
      <c r="T244" s="308"/>
      <c r="U244" s="308"/>
      <c r="V244" s="308"/>
      <c r="W244" s="308"/>
      <c r="X244" s="308"/>
      <c r="Y244" s="308"/>
      <c r="Z244" s="308"/>
      <c r="AA244" s="308"/>
      <c r="AB244" s="308"/>
      <c r="AC244" s="308"/>
      <c r="AD244" s="308"/>
      <c r="AE244" s="308"/>
      <c r="AF244" s="308"/>
      <c r="AG244" s="308"/>
      <c r="AH244" s="308"/>
      <c r="AI244" s="308"/>
      <c r="AJ244" s="308"/>
      <c r="AK244" s="308"/>
      <c r="AL244" s="308"/>
      <c r="AM244" s="751"/>
      <c r="AN244" s="765"/>
      <c r="AO244" s="782"/>
      <c r="AP244" s="933">
        <f>SUM(AP22:AP122)</f>
        <v>0</v>
      </c>
      <c r="AQ244" s="933">
        <f>SUM(AQ131:AQ243)</f>
        <v>0</v>
      </c>
      <c r="AR244" s="933">
        <f>SUM(AR131:AR243)</f>
        <v>0</v>
      </c>
      <c r="AS244" s="782"/>
      <c r="AT244" s="782"/>
      <c r="AU244" s="782"/>
      <c r="AV244" s="782"/>
      <c r="AW244" s="782"/>
      <c r="AX244" s="782"/>
      <c r="AY244" s="782"/>
      <c r="AZ244" s="782"/>
      <c r="BA244" s="782"/>
    </row>
    <row r="245" spans="1:58" ht="14.45" customHeight="1" thickBot="1" x14ac:dyDescent="0.25">
      <c r="A245" s="1245"/>
      <c r="B245" s="1246"/>
      <c r="C245" s="1246"/>
      <c r="D245" s="1246"/>
      <c r="E245" s="1246"/>
      <c r="F245" s="1246"/>
      <c r="G245" s="1247"/>
      <c r="H245" s="1247"/>
      <c r="I245" s="1247"/>
      <c r="J245" s="1247"/>
      <c r="K245" s="1247"/>
      <c r="L245" s="1247"/>
      <c r="M245" s="1247"/>
      <c r="N245" s="1247"/>
      <c r="O245" s="1736" t="s">
        <v>1366</v>
      </c>
      <c r="P245" s="1737"/>
      <c r="Q245" s="1737"/>
      <c r="R245" s="1738"/>
      <c r="S245" s="1232">
        <f>S244*(100+$R$8)%*(100+$R$9)%</f>
        <v>0</v>
      </c>
      <c r="T245" s="359"/>
      <c r="U245" s="310"/>
      <c r="V245" s="310"/>
      <c r="W245" s="310"/>
      <c r="X245" s="310"/>
      <c r="Y245" s="310"/>
      <c r="Z245" s="310"/>
      <c r="AA245" s="310"/>
      <c r="AB245" s="310"/>
      <c r="AC245" s="310"/>
      <c r="AD245" s="310"/>
      <c r="AE245" s="310"/>
      <c r="AF245" s="310"/>
      <c r="AG245" s="310"/>
      <c r="AH245" s="310"/>
      <c r="AI245" s="310"/>
      <c r="AJ245" s="310"/>
      <c r="AK245" s="310"/>
      <c r="AL245" s="310"/>
      <c r="AM245" s="753"/>
      <c r="AN245" s="768"/>
      <c r="AO245" s="785"/>
      <c r="AP245" s="785"/>
      <c r="AQ245" s="785"/>
      <c r="AR245" s="785"/>
      <c r="AS245" s="785"/>
      <c r="AT245" s="785"/>
      <c r="AU245" s="785"/>
      <c r="AV245" s="785"/>
      <c r="AW245" s="785"/>
      <c r="AX245" s="785"/>
      <c r="AY245" s="785"/>
      <c r="AZ245" s="785"/>
      <c r="BA245" s="785"/>
      <c r="BF245" s="440"/>
    </row>
    <row r="246" spans="1:58" ht="7.5" customHeight="1" thickBot="1" x14ac:dyDescent="0.25">
      <c r="A246" s="1245"/>
      <c r="B246" s="1246"/>
      <c r="C246" s="1246"/>
      <c r="D246" s="1246"/>
      <c r="E246" s="1246"/>
      <c r="F246" s="1246"/>
      <c r="G246" s="1247"/>
      <c r="H246" s="1247"/>
      <c r="I246" s="1247"/>
      <c r="J246" s="1247"/>
      <c r="K246" s="1247"/>
      <c r="L246" s="1247"/>
      <c r="M246" s="1247"/>
      <c r="N246" s="1247"/>
      <c r="O246" s="1247"/>
      <c r="P246" s="1247"/>
      <c r="Q246" s="1247"/>
      <c r="R246" s="1248"/>
      <c r="S246" s="1249"/>
      <c r="T246" s="328"/>
      <c r="AM246" s="309"/>
      <c r="AN246" s="766"/>
      <c r="AO246" s="783"/>
      <c r="AP246" s="783"/>
      <c r="AQ246" s="783"/>
      <c r="AR246" s="783"/>
      <c r="AS246" s="783"/>
      <c r="AT246" s="783"/>
      <c r="AU246" s="783"/>
      <c r="AV246" s="783"/>
      <c r="AW246" s="783"/>
      <c r="AX246" s="783"/>
      <c r="AY246" s="783"/>
      <c r="AZ246" s="783"/>
      <c r="BA246" s="783"/>
    </row>
    <row r="247" spans="1:58" ht="13.5" thickBot="1" x14ac:dyDescent="0.25">
      <c r="A247" s="1250"/>
      <c r="B247" s="1250"/>
      <c r="C247" s="1251">
        <f>C244+C128</f>
        <v>0</v>
      </c>
      <c r="D247" s="1252"/>
      <c r="E247" s="1226"/>
      <c r="F247" s="1253"/>
      <c r="G247" s="1254">
        <f>IFERROR(SUM(G131:G222,G224:G243,G22:G109:G111:G122)/($C$247-SUM($C$123:$C$127)),0)</f>
        <v>0</v>
      </c>
      <c r="H247" s="1254">
        <f>IFERROR(SUM(H131:H222,H224:H243,H22:H109:H111:H122)/($C$247-SUM($C$123:$C$127)),0)</f>
        <v>0</v>
      </c>
      <c r="I247" s="1254">
        <f>IFERROR(SUM(I131:I222,I224:I243,I22:I109:I111:I122)/($C$247-SUM($C$123:$C$127)),0)</f>
        <v>0</v>
      </c>
      <c r="J247" s="1254">
        <f>IFERROR(SUM(J131:J222,J224:J243,J22:J109:J111:J122)/($C$247-SUM($C$123:$C$127)),0)</f>
        <v>0</v>
      </c>
      <c r="K247" s="1254">
        <f>IFERROR(SUM(K131:K222,K224:K243,K22:K109:K111:K122)/($C$247-SUM($C$123:$C$127)),0)</f>
        <v>0</v>
      </c>
      <c r="L247" s="1254">
        <f>IFERROR(SUM(L131:L222,L224:L243,L22:L109:L111:L122)/($C$247-SUM($C$123:$C$127)),0)</f>
        <v>0</v>
      </c>
      <c r="M247" s="1254">
        <f>IFERROR(SUM(M131:M222,M224:M243,M22:M109:M111:M122)/($C$247-SUM($C$123:$C$127)),0)</f>
        <v>0</v>
      </c>
      <c r="N247" s="1254">
        <f>IFERROR(SUM(N131:N222,N224:N243,N22:N109:N111:N122)/($C$247-SUM($C$123:$C$127)),0)</f>
        <v>0</v>
      </c>
      <c r="O247" s="1254">
        <f>IFERROR(SUM(O131:O222,O224:O243,O22:O109:O111:O122)/($C$247-SUM($C$123:$C$127)),0)</f>
        <v>0</v>
      </c>
      <c r="P247" s="1254">
        <f>IFERROR(SUM(P131:P222,P224:P243,P22:P109:P111:P122)/($C$247-SUM($C$123:$C$127)),0)</f>
        <v>0</v>
      </c>
      <c r="Q247" s="1254">
        <f>IFERROR(SUM(Q131:Q222,Q224:Q243,Q22:Q109:Q111:Q122)/($C$247-SUM($C$123:$C$127)),0)</f>
        <v>0</v>
      </c>
      <c r="R247" s="1255">
        <f>R244+R128</f>
        <v>0</v>
      </c>
      <c r="S247" s="1230">
        <f>IFERROR(R247/C247,0)</f>
        <v>0</v>
      </c>
      <c r="T247" s="308"/>
      <c r="U247" s="308"/>
      <c r="V247" s="308"/>
      <c r="W247" s="308"/>
      <c r="X247" s="308"/>
      <c r="Y247" s="308"/>
      <c r="Z247" s="308"/>
      <c r="AA247" s="308"/>
      <c r="AB247" s="308"/>
      <c r="AC247" s="308"/>
      <c r="AD247" s="308"/>
      <c r="AE247" s="308"/>
      <c r="AF247" s="308"/>
      <c r="AG247" s="308"/>
      <c r="AH247" s="308"/>
      <c r="AI247" s="308"/>
      <c r="AJ247" s="308"/>
      <c r="AK247" s="308"/>
      <c r="AL247" s="308"/>
      <c r="AM247" s="308"/>
      <c r="AN247" s="308"/>
      <c r="AO247" s="308"/>
      <c r="AP247" s="308"/>
      <c r="AQ247" s="308"/>
      <c r="AR247" s="308"/>
      <c r="AS247" s="308"/>
      <c r="AT247" s="308"/>
      <c r="AU247" s="308"/>
      <c r="AV247" s="308"/>
      <c r="AW247" s="308"/>
      <c r="AX247" s="308"/>
      <c r="AY247" s="308"/>
      <c r="AZ247" s="308"/>
      <c r="BA247" s="308"/>
      <c r="BF247" s="440"/>
    </row>
    <row r="248" spans="1:58" ht="15" customHeight="1" thickBot="1" x14ac:dyDescent="0.25">
      <c r="A248" s="1231"/>
      <c r="B248" s="1256"/>
      <c r="C248" s="1257">
        <f>IFERROR(C128/C247,0)</f>
        <v>0</v>
      </c>
      <c r="D248" s="1258" t="str">
        <f>IF(KAT!A18=2,"FKQ Pflege - integr./angebundene KZP",IF(KAT!A18=1,"FKQ Pflege",""))</f>
        <v/>
      </c>
      <c r="E248" s="1259"/>
      <c r="F248" s="1260"/>
      <c r="G248" s="1247"/>
      <c r="H248" s="1247"/>
      <c r="O248" s="1800" t="s">
        <v>1367</v>
      </c>
      <c r="P248" s="1801"/>
      <c r="Q248" s="1801"/>
      <c r="R248" s="1802"/>
      <c r="S248" s="1261">
        <f>S247*(100+$R$8)%*(100+$R$9)%</f>
        <v>0</v>
      </c>
      <c r="T248" s="360"/>
      <c r="U248" s="361"/>
      <c r="V248" s="361"/>
      <c r="W248" s="361"/>
      <c r="X248" s="361"/>
      <c r="Y248" s="361"/>
      <c r="Z248" s="361"/>
      <c r="AA248" s="361"/>
      <c r="AB248" s="361"/>
      <c r="AC248" s="361"/>
      <c r="AD248" s="361"/>
      <c r="AE248" s="361"/>
      <c r="AF248" s="361"/>
      <c r="AG248" s="361"/>
      <c r="AH248" s="361"/>
      <c r="AI248" s="361"/>
      <c r="AJ248" s="361"/>
      <c r="AK248" s="361"/>
      <c r="AL248" s="361"/>
      <c r="AM248" s="796"/>
      <c r="AN248" s="797"/>
      <c r="AO248" s="798"/>
      <c r="AP248" s="798"/>
      <c r="AQ248" s="798"/>
      <c r="AR248" s="798"/>
      <c r="AS248" s="798"/>
      <c r="AT248" s="798"/>
      <c r="AU248" s="798"/>
      <c r="AV248" s="798"/>
      <c r="AW248" s="798"/>
      <c r="AX248" s="798"/>
      <c r="AY248" s="798"/>
      <c r="AZ248" s="798"/>
      <c r="BA248" s="798"/>
    </row>
    <row r="249" spans="1:58" x14ac:dyDescent="0.2">
      <c r="A249" s="1233" t="s">
        <v>387</v>
      </c>
      <c r="B249" s="194"/>
      <c r="G249" s="1247"/>
      <c r="H249" s="1247"/>
      <c r="J249" s="1721" t="s">
        <v>336</v>
      </c>
      <c r="K249" s="1721"/>
      <c r="L249" s="1721"/>
      <c r="M249" s="1721"/>
      <c r="N249" s="1721"/>
      <c r="O249" s="1721"/>
      <c r="P249" s="1721"/>
      <c r="Q249" s="1721"/>
      <c r="R249" s="1721"/>
      <c r="S249" s="1722"/>
      <c r="T249" s="362"/>
      <c r="U249" s="311"/>
      <c r="V249" s="311"/>
      <c r="W249" s="311"/>
      <c r="X249" s="311"/>
      <c r="Y249" s="311"/>
      <c r="Z249" s="311"/>
      <c r="AA249" s="311"/>
      <c r="AB249" s="311"/>
      <c r="AC249" s="311"/>
      <c r="AD249" s="311"/>
      <c r="AE249" s="311"/>
      <c r="AF249" s="311"/>
      <c r="AG249" s="311"/>
      <c r="AH249" s="311"/>
      <c r="AI249" s="311"/>
      <c r="AJ249" s="311"/>
      <c r="AK249" s="311"/>
      <c r="AL249" s="311"/>
      <c r="AM249" s="311"/>
      <c r="AN249" s="769"/>
      <c r="AO249" s="786"/>
      <c r="AP249" s="786"/>
      <c r="AQ249" s="786"/>
      <c r="AR249" s="786"/>
      <c r="AS249" s="786"/>
      <c r="AT249" s="786"/>
      <c r="AU249" s="786"/>
      <c r="AV249" s="786"/>
      <c r="AW249" s="786"/>
      <c r="AX249" s="786"/>
      <c r="AY249" s="786"/>
      <c r="AZ249" s="786"/>
      <c r="BA249" s="786"/>
    </row>
    <row r="250" spans="1:58" x14ac:dyDescent="0.2">
      <c r="A250" s="346"/>
      <c r="B250" s="347"/>
      <c r="C250" s="358"/>
      <c r="D250" s="349"/>
      <c r="E250" s="349"/>
      <c r="F250" s="350"/>
      <c r="G250" s="1211">
        <f t="shared" ref="G250:G264" si="121">IFERROR(F250*C250,"")</f>
        <v>0</v>
      </c>
      <c r="H250" s="339"/>
      <c r="I250" s="339"/>
      <c r="J250" s="340"/>
      <c r="K250" s="340"/>
      <c r="L250" s="340"/>
      <c r="M250" s="340"/>
      <c r="N250" s="340"/>
      <c r="O250" s="340"/>
      <c r="P250" s="340"/>
      <c r="Q250" s="340"/>
      <c r="R250" s="1212">
        <f t="shared" ref="R250:R264" si="122">IFERROR(IF(A250&lt;&gt;"GfB",(SUM(G250:J250,L250,P250)*12+(N250+O250))*(100+$J$12+$J$13)%+((K250+M250+Q250)*12),(SUM(G250:J250,L250,P250)*12+(N250+O250))*(100+$J$15+$J$13)%+((K250+M250+Q250)*12)),0)</f>
        <v>0</v>
      </c>
      <c r="S250" s="1213">
        <f t="shared" ref="S250:S264" si="123">IF(ISERROR(R250/C250),0,(R250/C250))</f>
        <v>0</v>
      </c>
      <c r="T250" s="341"/>
      <c r="U250" s="381">
        <f t="shared" ref="U250:U264" si="124">(IF(AND($B250="PFK/BFK",$C250&gt;0,$F250&gt;0),($G250+$H250),0))</f>
        <v>0</v>
      </c>
      <c r="V250" s="342">
        <f t="shared" ref="V250:V264" si="125">(IF(AND($B250="PFK/BFK",$C250&gt;0,$F250&gt;0),$I250,0))</f>
        <v>0</v>
      </c>
      <c r="W250" s="342">
        <f t="shared" ref="W250:W264" si="126">(IF(AND($B250="PFK/BFK",$C250&gt;0,$F250&gt;0),($J250+$K250),0))</f>
        <v>0</v>
      </c>
      <c r="X250" s="342">
        <f t="shared" ref="X250:X264" si="127">(IF(AND($B250="PFK/BFK",$C250&gt;0,$F250&gt;0),(($N250+$O250)/12),0))</f>
        <v>0</v>
      </c>
      <c r="Y250" s="382">
        <f t="shared" ref="Y250:Y264" si="128">(IF(AND($B250="PK/BK",$C250&gt;0,$F250&gt;0),($G250+$H250),0))</f>
        <v>0</v>
      </c>
      <c r="Z250" s="343">
        <f t="shared" ref="Z250:Z264" si="129">(IF(AND($B250="PK/BK",$C250&gt;0,$F250&gt;0),$I250,0))</f>
        <v>0</v>
      </c>
      <c r="AA250" s="343">
        <f t="shared" ref="AA250:AA264" si="130">(IF(AND($B250="PK/BK",$C250&gt;0,$F250&gt;0),($J250+$K250),0))</f>
        <v>0</v>
      </c>
      <c r="AB250" s="343">
        <f t="shared" ref="AB250:AB264" si="131">(IF(AND($B250="PK/BK",$C250&gt;0,$F250&gt;0),(($N250+$O250)/12),0))</f>
        <v>0</v>
      </c>
      <c r="AC250" s="383">
        <f t="shared" ref="AC250:AC264" si="132">(IF(AND($B250="PK/BK o.",$C250&gt;0,$F250&gt;0),($G250+$H250),0))</f>
        <v>0</v>
      </c>
      <c r="AD250" s="344">
        <f t="shared" ref="AD250:AD264" si="133">(IF(AND($B250="PK/BK o.",$C250&gt;0,$F250&gt;0),$I250,0))</f>
        <v>0</v>
      </c>
      <c r="AE250" s="344">
        <f t="shared" ref="AE250:AE264" si="134">(IF(AND($B250="PK/BK o.",$C250&gt;0,$F250&gt;0),($J250+$K250),0))</f>
        <v>0</v>
      </c>
      <c r="AF250" s="344">
        <f t="shared" ref="AF250:AF264" si="135">(IF(AND($B250="PK/BK o.",$C250&gt;0,$F250&gt;0),(($N250+$O250)/12),0))</f>
        <v>0</v>
      </c>
      <c r="AG250" s="345">
        <f t="shared" ref="AG250:AG264" si="136">IF(AND($B250="PFK/BFK",$C250&gt;0,$F250&gt;0),$C250,0)</f>
        <v>0</v>
      </c>
      <c r="AH250" s="345">
        <f t="shared" ref="AH250:AH264" si="137">IF(AND($B250="PK/BK",$C250&gt;0,$F250&gt;0),$C250,0)</f>
        <v>0</v>
      </c>
      <c r="AI250" s="345">
        <f t="shared" ref="AI250:AI264" si="138">IF(AND($B250="PK/BK o.",$C250&gt;0,$F250&gt;0),$C250,0)</f>
        <v>0</v>
      </c>
      <c r="AJ250" s="306">
        <f t="shared" ref="AJ250:AJ264" si="139">IF(AND($B250="PFK/BFK",$C250&gt;0,$F250&gt;0),$R250,0)</f>
        <v>0</v>
      </c>
      <c r="AK250" s="306">
        <f t="shared" ref="AK250:AK264" si="140">IF(AND($B250="PK/BK",$C250&gt;0,$F250&gt;0),$R250,0)</f>
        <v>0</v>
      </c>
      <c r="AL250" s="306">
        <f t="shared" ref="AL250:AL264" si="141">IF(AND($B250="PK/BK o.",$C250&gt;0,$F250&gt;0),$R250,0)</f>
        <v>0</v>
      </c>
      <c r="AM250" s="749"/>
      <c r="AN250" s="763"/>
      <c r="AO250" s="780"/>
      <c r="AP250" s="898">
        <f t="shared" ref="AP250" si="142">AG250</f>
        <v>0</v>
      </c>
      <c r="AQ250" s="900">
        <f t="shared" ref="AQ250" si="143">AH250</f>
        <v>0</v>
      </c>
      <c r="AR250" s="896">
        <f t="shared" ref="AR250" si="144">AI250</f>
        <v>0</v>
      </c>
      <c r="AS250" s="780"/>
      <c r="AT250" s="780"/>
      <c r="AU250" s="780"/>
      <c r="AV250" s="780"/>
      <c r="AW250" s="780"/>
      <c r="AX250" s="780"/>
      <c r="AY250" s="780"/>
      <c r="AZ250" s="780"/>
      <c r="BA250" s="780"/>
    </row>
    <row r="251" spans="1:58" x14ac:dyDescent="0.2">
      <c r="A251" s="346"/>
      <c r="B251" s="347"/>
      <c r="C251" s="358"/>
      <c r="D251" s="349"/>
      <c r="E251" s="349"/>
      <c r="F251" s="350"/>
      <c r="G251" s="1211">
        <f t="shared" si="121"/>
        <v>0</v>
      </c>
      <c r="H251" s="339"/>
      <c r="I251" s="339"/>
      <c r="J251" s="339"/>
      <c r="K251" s="339"/>
      <c r="L251" s="339"/>
      <c r="M251" s="340"/>
      <c r="N251" s="339"/>
      <c r="O251" s="339"/>
      <c r="P251" s="339"/>
      <c r="Q251" s="339"/>
      <c r="R251" s="1212">
        <f t="shared" si="122"/>
        <v>0</v>
      </c>
      <c r="S251" s="1237">
        <f t="shared" si="123"/>
        <v>0</v>
      </c>
      <c r="T251" s="341"/>
      <c r="U251" s="381">
        <f t="shared" si="124"/>
        <v>0</v>
      </c>
      <c r="V251" s="342">
        <f t="shared" si="125"/>
        <v>0</v>
      </c>
      <c r="W251" s="342">
        <f t="shared" si="126"/>
        <v>0</v>
      </c>
      <c r="X251" s="342">
        <f t="shared" si="127"/>
        <v>0</v>
      </c>
      <c r="Y251" s="382">
        <f t="shared" si="128"/>
        <v>0</v>
      </c>
      <c r="Z251" s="343">
        <f t="shared" si="129"/>
        <v>0</v>
      </c>
      <c r="AA251" s="343">
        <f t="shared" si="130"/>
        <v>0</v>
      </c>
      <c r="AB251" s="343">
        <f t="shared" si="131"/>
        <v>0</v>
      </c>
      <c r="AC251" s="383">
        <f t="shared" si="132"/>
        <v>0</v>
      </c>
      <c r="AD251" s="344">
        <f t="shared" si="133"/>
        <v>0</v>
      </c>
      <c r="AE251" s="344">
        <f t="shared" si="134"/>
        <v>0</v>
      </c>
      <c r="AF251" s="344">
        <f t="shared" si="135"/>
        <v>0</v>
      </c>
      <c r="AG251" s="345">
        <f t="shared" si="136"/>
        <v>0</v>
      </c>
      <c r="AH251" s="345">
        <f t="shared" si="137"/>
        <v>0</v>
      </c>
      <c r="AI251" s="345">
        <f t="shared" si="138"/>
        <v>0</v>
      </c>
      <c r="AJ251" s="306">
        <f t="shared" si="139"/>
        <v>0</v>
      </c>
      <c r="AK251" s="306">
        <f t="shared" si="140"/>
        <v>0</v>
      </c>
      <c r="AL251" s="306">
        <f t="shared" si="141"/>
        <v>0</v>
      </c>
      <c r="AM251" s="749"/>
      <c r="AN251" s="763"/>
      <c r="AO251" s="780"/>
      <c r="AP251" s="898">
        <f t="shared" ref="AP251:AP264" si="145">AG251</f>
        <v>0</v>
      </c>
      <c r="AQ251" s="900">
        <f t="shared" ref="AQ251:AQ264" si="146">AH251</f>
        <v>0</v>
      </c>
      <c r="AR251" s="896">
        <f t="shared" ref="AR251:AR264" si="147">AI251</f>
        <v>0</v>
      </c>
      <c r="AS251" s="780"/>
      <c r="AT251" s="780"/>
      <c r="AU251" s="780"/>
      <c r="AV251" s="780"/>
      <c r="AW251" s="780"/>
      <c r="AX251" s="780"/>
      <c r="AY251" s="780"/>
      <c r="AZ251" s="780"/>
      <c r="BA251" s="780"/>
    </row>
    <row r="252" spans="1:58" x14ac:dyDescent="0.2">
      <c r="A252" s="346"/>
      <c r="B252" s="347"/>
      <c r="C252" s="358"/>
      <c r="D252" s="349"/>
      <c r="E252" s="349"/>
      <c r="F252" s="350"/>
      <c r="G252" s="1211">
        <f t="shared" si="121"/>
        <v>0</v>
      </c>
      <c r="H252" s="339"/>
      <c r="I252" s="339"/>
      <c r="J252" s="339"/>
      <c r="K252" s="339"/>
      <c r="L252" s="339"/>
      <c r="M252" s="340"/>
      <c r="N252" s="339"/>
      <c r="O252" s="339"/>
      <c r="P252" s="339"/>
      <c r="Q252" s="339"/>
      <c r="R252" s="1212">
        <f t="shared" si="122"/>
        <v>0</v>
      </c>
      <c r="S252" s="1237">
        <f t="shared" si="123"/>
        <v>0</v>
      </c>
      <c r="T252" s="341"/>
      <c r="U252" s="381">
        <f t="shared" si="124"/>
        <v>0</v>
      </c>
      <c r="V252" s="342">
        <f t="shared" si="125"/>
        <v>0</v>
      </c>
      <c r="W252" s="342">
        <f t="shared" si="126"/>
        <v>0</v>
      </c>
      <c r="X252" s="342">
        <f t="shared" si="127"/>
        <v>0</v>
      </c>
      <c r="Y252" s="382">
        <f t="shared" si="128"/>
        <v>0</v>
      </c>
      <c r="Z252" s="343">
        <f t="shared" si="129"/>
        <v>0</v>
      </c>
      <c r="AA252" s="343">
        <f t="shared" si="130"/>
        <v>0</v>
      </c>
      <c r="AB252" s="343">
        <f t="shared" si="131"/>
        <v>0</v>
      </c>
      <c r="AC252" s="383">
        <f t="shared" si="132"/>
        <v>0</v>
      </c>
      <c r="AD252" s="344">
        <f t="shared" si="133"/>
        <v>0</v>
      </c>
      <c r="AE252" s="344">
        <f t="shared" si="134"/>
        <v>0</v>
      </c>
      <c r="AF252" s="344">
        <f t="shared" si="135"/>
        <v>0</v>
      </c>
      <c r="AG252" s="345">
        <f t="shared" si="136"/>
        <v>0</v>
      </c>
      <c r="AH252" s="345">
        <f t="shared" si="137"/>
        <v>0</v>
      </c>
      <c r="AI252" s="345">
        <f t="shared" si="138"/>
        <v>0</v>
      </c>
      <c r="AJ252" s="306">
        <f t="shared" si="139"/>
        <v>0</v>
      </c>
      <c r="AK252" s="306">
        <f t="shared" si="140"/>
        <v>0</v>
      </c>
      <c r="AL252" s="306">
        <f t="shared" si="141"/>
        <v>0</v>
      </c>
      <c r="AM252" s="749"/>
      <c r="AN252" s="763"/>
      <c r="AO252" s="780"/>
      <c r="AP252" s="898">
        <f t="shared" si="145"/>
        <v>0</v>
      </c>
      <c r="AQ252" s="900">
        <f t="shared" si="146"/>
        <v>0</v>
      </c>
      <c r="AR252" s="896">
        <f t="shared" si="147"/>
        <v>0</v>
      </c>
      <c r="AS252" s="780"/>
      <c r="AT252" s="780"/>
      <c r="AU252" s="780"/>
      <c r="AV252" s="780"/>
      <c r="AW252" s="780"/>
      <c r="AX252" s="780"/>
      <c r="AY252" s="780"/>
      <c r="AZ252" s="780"/>
      <c r="BA252" s="780"/>
    </row>
    <row r="253" spans="1:58" x14ac:dyDescent="0.2">
      <c r="A253" s="346"/>
      <c r="B253" s="347"/>
      <c r="C253" s="358"/>
      <c r="D253" s="349"/>
      <c r="E253" s="349"/>
      <c r="F253" s="350"/>
      <c r="G253" s="1211">
        <f t="shared" si="121"/>
        <v>0</v>
      </c>
      <c r="H253" s="339"/>
      <c r="I253" s="339"/>
      <c r="J253" s="339"/>
      <c r="K253" s="339"/>
      <c r="L253" s="339"/>
      <c r="M253" s="339"/>
      <c r="N253" s="339"/>
      <c r="O253" s="339"/>
      <c r="P253" s="339"/>
      <c r="Q253" s="339"/>
      <c r="R253" s="1212">
        <f t="shared" si="122"/>
        <v>0</v>
      </c>
      <c r="S253" s="1237">
        <f t="shared" si="123"/>
        <v>0</v>
      </c>
      <c r="T253" s="341"/>
      <c r="U253" s="381">
        <f t="shared" si="124"/>
        <v>0</v>
      </c>
      <c r="V253" s="342">
        <f t="shared" si="125"/>
        <v>0</v>
      </c>
      <c r="W253" s="342">
        <f t="shared" si="126"/>
        <v>0</v>
      </c>
      <c r="X253" s="342">
        <f t="shared" si="127"/>
        <v>0</v>
      </c>
      <c r="Y253" s="382">
        <f t="shared" si="128"/>
        <v>0</v>
      </c>
      <c r="Z253" s="343">
        <f t="shared" si="129"/>
        <v>0</v>
      </c>
      <c r="AA253" s="343">
        <f t="shared" si="130"/>
        <v>0</v>
      </c>
      <c r="AB253" s="343">
        <f t="shared" si="131"/>
        <v>0</v>
      </c>
      <c r="AC253" s="383">
        <f t="shared" si="132"/>
        <v>0</v>
      </c>
      <c r="AD253" s="344">
        <f t="shared" si="133"/>
        <v>0</v>
      </c>
      <c r="AE253" s="344">
        <f t="shared" si="134"/>
        <v>0</v>
      </c>
      <c r="AF253" s="344">
        <f t="shared" si="135"/>
        <v>0</v>
      </c>
      <c r="AG253" s="345">
        <f t="shared" si="136"/>
        <v>0</v>
      </c>
      <c r="AH253" s="345">
        <f t="shared" si="137"/>
        <v>0</v>
      </c>
      <c r="AI253" s="345">
        <f t="shared" si="138"/>
        <v>0</v>
      </c>
      <c r="AJ253" s="306">
        <f t="shared" si="139"/>
        <v>0</v>
      </c>
      <c r="AK253" s="306">
        <f t="shared" si="140"/>
        <v>0</v>
      </c>
      <c r="AL253" s="306">
        <f t="shared" si="141"/>
        <v>0</v>
      </c>
      <c r="AM253" s="749"/>
      <c r="AN253" s="763"/>
      <c r="AO253" s="780"/>
      <c r="AP253" s="898">
        <f t="shared" si="145"/>
        <v>0</v>
      </c>
      <c r="AQ253" s="900">
        <f t="shared" si="146"/>
        <v>0</v>
      </c>
      <c r="AR253" s="896">
        <f t="shared" si="147"/>
        <v>0</v>
      </c>
      <c r="AS253" s="780"/>
      <c r="AT253" s="780"/>
      <c r="AU253" s="780"/>
      <c r="AV253" s="780"/>
      <c r="AW253" s="780"/>
      <c r="AX253" s="780"/>
      <c r="AY253" s="780"/>
      <c r="AZ253" s="780"/>
      <c r="BA253" s="780"/>
    </row>
    <row r="254" spans="1:58" x14ac:dyDescent="0.2">
      <c r="A254" s="346"/>
      <c r="B254" s="347"/>
      <c r="C254" s="358"/>
      <c r="D254" s="349"/>
      <c r="E254" s="349"/>
      <c r="F254" s="350"/>
      <c r="G254" s="1211">
        <f t="shared" si="121"/>
        <v>0</v>
      </c>
      <c r="H254" s="339"/>
      <c r="I254" s="339"/>
      <c r="J254" s="339"/>
      <c r="K254" s="339"/>
      <c r="L254" s="339"/>
      <c r="M254" s="339"/>
      <c r="N254" s="339"/>
      <c r="O254" s="339"/>
      <c r="P254" s="339"/>
      <c r="Q254" s="339"/>
      <c r="R254" s="1212">
        <f t="shared" si="122"/>
        <v>0</v>
      </c>
      <c r="S254" s="1237">
        <f t="shared" si="123"/>
        <v>0</v>
      </c>
      <c r="T254" s="341"/>
      <c r="U254" s="381">
        <f t="shared" si="124"/>
        <v>0</v>
      </c>
      <c r="V254" s="342">
        <f t="shared" si="125"/>
        <v>0</v>
      </c>
      <c r="W254" s="342">
        <f t="shared" si="126"/>
        <v>0</v>
      </c>
      <c r="X254" s="342">
        <f t="shared" si="127"/>
        <v>0</v>
      </c>
      <c r="Y254" s="382">
        <f t="shared" si="128"/>
        <v>0</v>
      </c>
      <c r="Z254" s="343">
        <f t="shared" si="129"/>
        <v>0</v>
      </c>
      <c r="AA254" s="343">
        <f t="shared" si="130"/>
        <v>0</v>
      </c>
      <c r="AB254" s="343">
        <f t="shared" si="131"/>
        <v>0</v>
      </c>
      <c r="AC254" s="383">
        <f t="shared" si="132"/>
        <v>0</v>
      </c>
      <c r="AD254" s="344">
        <f t="shared" si="133"/>
        <v>0</v>
      </c>
      <c r="AE254" s="344">
        <f t="shared" si="134"/>
        <v>0</v>
      </c>
      <c r="AF254" s="344">
        <f t="shared" si="135"/>
        <v>0</v>
      </c>
      <c r="AG254" s="345">
        <f t="shared" si="136"/>
        <v>0</v>
      </c>
      <c r="AH254" s="345">
        <f t="shared" si="137"/>
        <v>0</v>
      </c>
      <c r="AI254" s="345">
        <f t="shared" si="138"/>
        <v>0</v>
      </c>
      <c r="AJ254" s="306">
        <f t="shared" si="139"/>
        <v>0</v>
      </c>
      <c r="AK254" s="306">
        <f t="shared" si="140"/>
        <v>0</v>
      </c>
      <c r="AL254" s="306">
        <f t="shared" si="141"/>
        <v>0</v>
      </c>
      <c r="AM254" s="749"/>
      <c r="AN254" s="763"/>
      <c r="AO254" s="780"/>
      <c r="AP254" s="898">
        <f t="shared" si="145"/>
        <v>0</v>
      </c>
      <c r="AQ254" s="900">
        <f t="shared" si="146"/>
        <v>0</v>
      </c>
      <c r="AR254" s="896">
        <f t="shared" si="147"/>
        <v>0</v>
      </c>
      <c r="AS254" s="780"/>
      <c r="AT254" s="780"/>
      <c r="AU254" s="780"/>
      <c r="AV254" s="780"/>
      <c r="AW254" s="780"/>
      <c r="AX254" s="780"/>
      <c r="AY254" s="780"/>
      <c r="AZ254" s="780"/>
      <c r="BA254" s="780"/>
    </row>
    <row r="255" spans="1:58" x14ac:dyDescent="0.2">
      <c r="A255" s="346"/>
      <c r="B255" s="347"/>
      <c r="C255" s="358"/>
      <c r="D255" s="349"/>
      <c r="E255" s="349"/>
      <c r="F255" s="350"/>
      <c r="G255" s="1211">
        <f t="shared" si="121"/>
        <v>0</v>
      </c>
      <c r="H255" s="339"/>
      <c r="I255" s="339"/>
      <c r="J255" s="339"/>
      <c r="K255" s="339"/>
      <c r="L255" s="339"/>
      <c r="M255" s="339"/>
      <c r="N255" s="339"/>
      <c r="O255" s="339"/>
      <c r="P255" s="339"/>
      <c r="Q255" s="339"/>
      <c r="R255" s="1212">
        <f t="shared" si="122"/>
        <v>0</v>
      </c>
      <c r="S255" s="1237">
        <f t="shared" si="123"/>
        <v>0</v>
      </c>
      <c r="T255" s="341"/>
      <c r="U255" s="381">
        <f t="shared" si="124"/>
        <v>0</v>
      </c>
      <c r="V255" s="342">
        <f t="shared" si="125"/>
        <v>0</v>
      </c>
      <c r="W255" s="342">
        <f t="shared" si="126"/>
        <v>0</v>
      </c>
      <c r="X255" s="342">
        <f t="shared" si="127"/>
        <v>0</v>
      </c>
      <c r="Y255" s="382">
        <f t="shared" si="128"/>
        <v>0</v>
      </c>
      <c r="Z255" s="343">
        <f t="shared" si="129"/>
        <v>0</v>
      </c>
      <c r="AA255" s="343">
        <f t="shared" si="130"/>
        <v>0</v>
      </c>
      <c r="AB255" s="343">
        <f t="shared" si="131"/>
        <v>0</v>
      </c>
      <c r="AC255" s="383">
        <f t="shared" si="132"/>
        <v>0</v>
      </c>
      <c r="AD255" s="344">
        <f t="shared" si="133"/>
        <v>0</v>
      </c>
      <c r="AE255" s="344">
        <f t="shared" si="134"/>
        <v>0</v>
      </c>
      <c r="AF255" s="344">
        <f t="shared" si="135"/>
        <v>0</v>
      </c>
      <c r="AG255" s="345">
        <f t="shared" si="136"/>
        <v>0</v>
      </c>
      <c r="AH255" s="345">
        <f t="shared" si="137"/>
        <v>0</v>
      </c>
      <c r="AI255" s="345">
        <f t="shared" si="138"/>
        <v>0</v>
      </c>
      <c r="AJ255" s="306">
        <f t="shared" si="139"/>
        <v>0</v>
      </c>
      <c r="AK255" s="306">
        <f t="shared" si="140"/>
        <v>0</v>
      </c>
      <c r="AL255" s="306">
        <f t="shared" si="141"/>
        <v>0</v>
      </c>
      <c r="AM255" s="749"/>
      <c r="AN255" s="763"/>
      <c r="AO255" s="780"/>
      <c r="AP255" s="898">
        <f t="shared" si="145"/>
        <v>0</v>
      </c>
      <c r="AQ255" s="900">
        <f t="shared" si="146"/>
        <v>0</v>
      </c>
      <c r="AR255" s="896">
        <f t="shared" si="147"/>
        <v>0</v>
      </c>
      <c r="AS255" s="780"/>
      <c r="AT255" s="780"/>
      <c r="AU255" s="780"/>
      <c r="AV255" s="780"/>
      <c r="AW255" s="780"/>
      <c r="AX255" s="780"/>
      <c r="AY255" s="780"/>
      <c r="AZ255" s="780"/>
      <c r="BA255" s="780"/>
    </row>
    <row r="256" spans="1:58" x14ac:dyDescent="0.2">
      <c r="A256" s="346"/>
      <c r="B256" s="347"/>
      <c r="C256" s="358"/>
      <c r="D256" s="349"/>
      <c r="E256" s="349"/>
      <c r="F256" s="350"/>
      <c r="G256" s="1211">
        <f t="shared" si="121"/>
        <v>0</v>
      </c>
      <c r="H256" s="339"/>
      <c r="I256" s="339"/>
      <c r="J256" s="339"/>
      <c r="K256" s="339"/>
      <c r="L256" s="339"/>
      <c r="M256" s="339"/>
      <c r="N256" s="339"/>
      <c r="O256" s="339"/>
      <c r="P256" s="339"/>
      <c r="Q256" s="339"/>
      <c r="R256" s="1212">
        <f t="shared" si="122"/>
        <v>0</v>
      </c>
      <c r="S256" s="1237">
        <f t="shared" si="123"/>
        <v>0</v>
      </c>
      <c r="T256" s="341"/>
      <c r="U256" s="381">
        <f t="shared" si="124"/>
        <v>0</v>
      </c>
      <c r="V256" s="342">
        <f t="shared" si="125"/>
        <v>0</v>
      </c>
      <c r="W256" s="342">
        <f t="shared" si="126"/>
        <v>0</v>
      </c>
      <c r="X256" s="342">
        <f t="shared" si="127"/>
        <v>0</v>
      </c>
      <c r="Y256" s="382">
        <f t="shared" si="128"/>
        <v>0</v>
      </c>
      <c r="Z256" s="343">
        <f t="shared" si="129"/>
        <v>0</v>
      </c>
      <c r="AA256" s="343">
        <f t="shared" si="130"/>
        <v>0</v>
      </c>
      <c r="AB256" s="343">
        <f t="shared" si="131"/>
        <v>0</v>
      </c>
      <c r="AC256" s="383">
        <f t="shared" si="132"/>
        <v>0</v>
      </c>
      <c r="AD256" s="344">
        <f t="shared" si="133"/>
        <v>0</v>
      </c>
      <c r="AE256" s="344">
        <f t="shared" si="134"/>
        <v>0</v>
      </c>
      <c r="AF256" s="344">
        <f t="shared" si="135"/>
        <v>0</v>
      </c>
      <c r="AG256" s="345">
        <f t="shared" si="136"/>
        <v>0</v>
      </c>
      <c r="AH256" s="345">
        <f t="shared" si="137"/>
        <v>0</v>
      </c>
      <c r="AI256" s="345">
        <f t="shared" si="138"/>
        <v>0</v>
      </c>
      <c r="AJ256" s="306">
        <f t="shared" si="139"/>
        <v>0</v>
      </c>
      <c r="AK256" s="306">
        <f t="shared" si="140"/>
        <v>0</v>
      </c>
      <c r="AL256" s="306">
        <f t="shared" si="141"/>
        <v>0</v>
      </c>
      <c r="AM256" s="749"/>
      <c r="AN256" s="763"/>
      <c r="AO256" s="780"/>
      <c r="AP256" s="898">
        <f t="shared" si="145"/>
        <v>0</v>
      </c>
      <c r="AQ256" s="900">
        <f t="shared" si="146"/>
        <v>0</v>
      </c>
      <c r="AR256" s="896">
        <f t="shared" si="147"/>
        <v>0</v>
      </c>
      <c r="AS256" s="780"/>
      <c r="AT256" s="780"/>
      <c r="AU256" s="780"/>
      <c r="AV256" s="780"/>
      <c r="AW256" s="780"/>
      <c r="AX256" s="780"/>
      <c r="AY256" s="780"/>
      <c r="AZ256" s="780"/>
      <c r="BA256" s="780"/>
    </row>
    <row r="257" spans="1:53" x14ac:dyDescent="0.2">
      <c r="A257" s="346"/>
      <c r="B257" s="347"/>
      <c r="C257" s="358"/>
      <c r="D257" s="349"/>
      <c r="E257" s="349"/>
      <c r="F257" s="350"/>
      <c r="G257" s="1211">
        <f t="shared" si="121"/>
        <v>0</v>
      </c>
      <c r="H257" s="339"/>
      <c r="I257" s="339"/>
      <c r="J257" s="339"/>
      <c r="K257" s="339"/>
      <c r="L257" s="339"/>
      <c r="M257" s="339"/>
      <c r="N257" s="339"/>
      <c r="O257" s="339"/>
      <c r="P257" s="339"/>
      <c r="Q257" s="339"/>
      <c r="R257" s="1212">
        <f t="shared" si="122"/>
        <v>0</v>
      </c>
      <c r="S257" s="1237">
        <f t="shared" si="123"/>
        <v>0</v>
      </c>
      <c r="T257" s="341"/>
      <c r="U257" s="381">
        <f t="shared" si="124"/>
        <v>0</v>
      </c>
      <c r="V257" s="342">
        <f t="shared" si="125"/>
        <v>0</v>
      </c>
      <c r="W257" s="342">
        <f t="shared" si="126"/>
        <v>0</v>
      </c>
      <c r="X257" s="342">
        <f t="shared" si="127"/>
        <v>0</v>
      </c>
      <c r="Y257" s="382">
        <f t="shared" si="128"/>
        <v>0</v>
      </c>
      <c r="Z257" s="343">
        <f t="shared" si="129"/>
        <v>0</v>
      </c>
      <c r="AA257" s="343">
        <f t="shared" si="130"/>
        <v>0</v>
      </c>
      <c r="AB257" s="343">
        <f t="shared" si="131"/>
        <v>0</v>
      </c>
      <c r="AC257" s="383">
        <f t="shared" si="132"/>
        <v>0</v>
      </c>
      <c r="AD257" s="344">
        <f t="shared" si="133"/>
        <v>0</v>
      </c>
      <c r="AE257" s="344">
        <f t="shared" si="134"/>
        <v>0</v>
      </c>
      <c r="AF257" s="344">
        <f t="shared" si="135"/>
        <v>0</v>
      </c>
      <c r="AG257" s="345">
        <f t="shared" si="136"/>
        <v>0</v>
      </c>
      <c r="AH257" s="345">
        <f t="shared" si="137"/>
        <v>0</v>
      </c>
      <c r="AI257" s="345">
        <f t="shared" si="138"/>
        <v>0</v>
      </c>
      <c r="AJ257" s="306">
        <f t="shared" si="139"/>
        <v>0</v>
      </c>
      <c r="AK257" s="306">
        <f t="shared" si="140"/>
        <v>0</v>
      </c>
      <c r="AL257" s="306">
        <f t="shared" si="141"/>
        <v>0</v>
      </c>
      <c r="AM257" s="749"/>
      <c r="AN257" s="763"/>
      <c r="AO257" s="780"/>
      <c r="AP257" s="898">
        <f t="shared" si="145"/>
        <v>0</v>
      </c>
      <c r="AQ257" s="900">
        <f t="shared" si="146"/>
        <v>0</v>
      </c>
      <c r="AR257" s="896">
        <f t="shared" si="147"/>
        <v>0</v>
      </c>
      <c r="AS257" s="780"/>
      <c r="AT257" s="780"/>
      <c r="AU257" s="780"/>
      <c r="AV257" s="780"/>
      <c r="AW257" s="780"/>
      <c r="AX257" s="780"/>
      <c r="AY257" s="780"/>
      <c r="AZ257" s="780"/>
      <c r="BA257" s="780"/>
    </row>
    <row r="258" spans="1:53" x14ac:dyDescent="0.2">
      <c r="A258" s="346"/>
      <c r="B258" s="347"/>
      <c r="C258" s="358"/>
      <c r="D258" s="349"/>
      <c r="E258" s="349"/>
      <c r="F258" s="350"/>
      <c r="G258" s="1211">
        <f t="shared" si="121"/>
        <v>0</v>
      </c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  <c r="R258" s="1212">
        <f t="shared" si="122"/>
        <v>0</v>
      </c>
      <c r="S258" s="1237">
        <f t="shared" si="123"/>
        <v>0</v>
      </c>
      <c r="T258" s="341"/>
      <c r="U258" s="381">
        <f t="shared" si="124"/>
        <v>0</v>
      </c>
      <c r="V258" s="342">
        <f t="shared" si="125"/>
        <v>0</v>
      </c>
      <c r="W258" s="342">
        <f t="shared" si="126"/>
        <v>0</v>
      </c>
      <c r="X258" s="342">
        <f t="shared" si="127"/>
        <v>0</v>
      </c>
      <c r="Y258" s="382">
        <f t="shared" si="128"/>
        <v>0</v>
      </c>
      <c r="Z258" s="343">
        <f t="shared" si="129"/>
        <v>0</v>
      </c>
      <c r="AA258" s="343">
        <f t="shared" si="130"/>
        <v>0</v>
      </c>
      <c r="AB258" s="343">
        <f t="shared" si="131"/>
        <v>0</v>
      </c>
      <c r="AC258" s="383">
        <f t="shared" si="132"/>
        <v>0</v>
      </c>
      <c r="AD258" s="344">
        <f t="shared" si="133"/>
        <v>0</v>
      </c>
      <c r="AE258" s="344">
        <f t="shared" si="134"/>
        <v>0</v>
      </c>
      <c r="AF258" s="344">
        <f t="shared" si="135"/>
        <v>0</v>
      </c>
      <c r="AG258" s="345">
        <f t="shared" si="136"/>
        <v>0</v>
      </c>
      <c r="AH258" s="345">
        <f t="shared" si="137"/>
        <v>0</v>
      </c>
      <c r="AI258" s="345">
        <f t="shared" si="138"/>
        <v>0</v>
      </c>
      <c r="AJ258" s="306">
        <f t="shared" si="139"/>
        <v>0</v>
      </c>
      <c r="AK258" s="306">
        <f t="shared" si="140"/>
        <v>0</v>
      </c>
      <c r="AL258" s="306">
        <f t="shared" si="141"/>
        <v>0</v>
      </c>
      <c r="AM258" s="749"/>
      <c r="AN258" s="763"/>
      <c r="AO258" s="780"/>
      <c r="AP258" s="898">
        <f t="shared" si="145"/>
        <v>0</v>
      </c>
      <c r="AQ258" s="900">
        <f t="shared" si="146"/>
        <v>0</v>
      </c>
      <c r="AR258" s="896">
        <f t="shared" si="147"/>
        <v>0</v>
      </c>
      <c r="AS258" s="780"/>
      <c r="AT258" s="780"/>
      <c r="AU258" s="780"/>
      <c r="AV258" s="780"/>
      <c r="AW258" s="780"/>
      <c r="AX258" s="780"/>
      <c r="AY258" s="780"/>
      <c r="AZ258" s="780"/>
      <c r="BA258" s="780"/>
    </row>
    <row r="259" spans="1:53" x14ac:dyDescent="0.2">
      <c r="A259" s="346"/>
      <c r="B259" s="347"/>
      <c r="C259" s="358"/>
      <c r="D259" s="349"/>
      <c r="E259" s="349"/>
      <c r="F259" s="350"/>
      <c r="G259" s="1211">
        <f t="shared" si="121"/>
        <v>0</v>
      </c>
      <c r="H259" s="339"/>
      <c r="I259" s="339"/>
      <c r="J259" s="339"/>
      <c r="K259" s="339"/>
      <c r="L259" s="339"/>
      <c r="M259" s="339"/>
      <c r="N259" s="339"/>
      <c r="O259" s="339"/>
      <c r="P259" s="339"/>
      <c r="Q259" s="339"/>
      <c r="R259" s="1212">
        <f t="shared" si="122"/>
        <v>0</v>
      </c>
      <c r="S259" s="1237">
        <f t="shared" si="123"/>
        <v>0</v>
      </c>
      <c r="T259" s="341"/>
      <c r="U259" s="381">
        <f t="shared" si="124"/>
        <v>0</v>
      </c>
      <c r="V259" s="342">
        <f t="shared" si="125"/>
        <v>0</v>
      </c>
      <c r="W259" s="342">
        <f t="shared" si="126"/>
        <v>0</v>
      </c>
      <c r="X259" s="342">
        <f t="shared" si="127"/>
        <v>0</v>
      </c>
      <c r="Y259" s="382">
        <f t="shared" si="128"/>
        <v>0</v>
      </c>
      <c r="Z259" s="343">
        <f t="shared" si="129"/>
        <v>0</v>
      </c>
      <c r="AA259" s="343">
        <f t="shared" si="130"/>
        <v>0</v>
      </c>
      <c r="AB259" s="343">
        <f t="shared" si="131"/>
        <v>0</v>
      </c>
      <c r="AC259" s="383">
        <f t="shared" si="132"/>
        <v>0</v>
      </c>
      <c r="AD259" s="344">
        <f t="shared" si="133"/>
        <v>0</v>
      </c>
      <c r="AE259" s="344">
        <f t="shared" si="134"/>
        <v>0</v>
      </c>
      <c r="AF259" s="344">
        <f t="shared" si="135"/>
        <v>0</v>
      </c>
      <c r="AG259" s="345">
        <f t="shared" si="136"/>
        <v>0</v>
      </c>
      <c r="AH259" s="345">
        <f t="shared" si="137"/>
        <v>0</v>
      </c>
      <c r="AI259" s="345">
        <f t="shared" si="138"/>
        <v>0</v>
      </c>
      <c r="AJ259" s="306">
        <f t="shared" si="139"/>
        <v>0</v>
      </c>
      <c r="AK259" s="306">
        <f t="shared" si="140"/>
        <v>0</v>
      </c>
      <c r="AL259" s="306">
        <f t="shared" si="141"/>
        <v>0</v>
      </c>
      <c r="AM259" s="749"/>
      <c r="AN259" s="763"/>
      <c r="AO259" s="780"/>
      <c r="AP259" s="898">
        <f t="shared" si="145"/>
        <v>0</v>
      </c>
      <c r="AQ259" s="900">
        <f t="shared" si="146"/>
        <v>0</v>
      </c>
      <c r="AR259" s="896">
        <f t="shared" si="147"/>
        <v>0</v>
      </c>
      <c r="AS259" s="780"/>
      <c r="AT259" s="780"/>
      <c r="AU259" s="780"/>
      <c r="AV259" s="780"/>
      <c r="AW259" s="780"/>
      <c r="AX259" s="780"/>
      <c r="AY259" s="780"/>
      <c r="AZ259" s="780"/>
      <c r="BA259" s="780"/>
    </row>
    <row r="260" spans="1:53" x14ac:dyDescent="0.2">
      <c r="A260" s="346"/>
      <c r="B260" s="347"/>
      <c r="C260" s="358"/>
      <c r="D260" s="349"/>
      <c r="E260" s="349"/>
      <c r="F260" s="350"/>
      <c r="G260" s="1211">
        <f t="shared" si="121"/>
        <v>0</v>
      </c>
      <c r="H260" s="339"/>
      <c r="I260" s="339"/>
      <c r="J260" s="339"/>
      <c r="K260" s="339"/>
      <c r="L260" s="339"/>
      <c r="M260" s="339"/>
      <c r="N260" s="339"/>
      <c r="O260" s="339"/>
      <c r="P260" s="339"/>
      <c r="Q260" s="339"/>
      <c r="R260" s="1212">
        <f t="shared" si="122"/>
        <v>0</v>
      </c>
      <c r="S260" s="1237">
        <f t="shared" si="123"/>
        <v>0</v>
      </c>
      <c r="T260" s="341"/>
      <c r="U260" s="381">
        <f t="shared" si="124"/>
        <v>0</v>
      </c>
      <c r="V260" s="342">
        <f t="shared" si="125"/>
        <v>0</v>
      </c>
      <c r="W260" s="342">
        <f t="shared" si="126"/>
        <v>0</v>
      </c>
      <c r="X260" s="342">
        <f t="shared" si="127"/>
        <v>0</v>
      </c>
      <c r="Y260" s="382">
        <f t="shared" si="128"/>
        <v>0</v>
      </c>
      <c r="Z260" s="343">
        <f t="shared" si="129"/>
        <v>0</v>
      </c>
      <c r="AA260" s="343">
        <f t="shared" si="130"/>
        <v>0</v>
      </c>
      <c r="AB260" s="343">
        <f t="shared" si="131"/>
        <v>0</v>
      </c>
      <c r="AC260" s="383">
        <f t="shared" si="132"/>
        <v>0</v>
      </c>
      <c r="AD260" s="344">
        <f t="shared" si="133"/>
        <v>0</v>
      </c>
      <c r="AE260" s="344">
        <f t="shared" si="134"/>
        <v>0</v>
      </c>
      <c r="AF260" s="344">
        <f t="shared" si="135"/>
        <v>0</v>
      </c>
      <c r="AG260" s="345">
        <f t="shared" si="136"/>
        <v>0</v>
      </c>
      <c r="AH260" s="345">
        <f t="shared" si="137"/>
        <v>0</v>
      </c>
      <c r="AI260" s="345">
        <f t="shared" si="138"/>
        <v>0</v>
      </c>
      <c r="AJ260" s="306">
        <f t="shared" si="139"/>
        <v>0</v>
      </c>
      <c r="AK260" s="306">
        <f t="shared" si="140"/>
        <v>0</v>
      </c>
      <c r="AL260" s="306">
        <f t="shared" si="141"/>
        <v>0</v>
      </c>
      <c r="AM260" s="749"/>
      <c r="AN260" s="763"/>
      <c r="AO260" s="780"/>
      <c r="AP260" s="898">
        <f t="shared" si="145"/>
        <v>0</v>
      </c>
      <c r="AQ260" s="900">
        <f t="shared" si="146"/>
        <v>0</v>
      </c>
      <c r="AR260" s="896">
        <f t="shared" si="147"/>
        <v>0</v>
      </c>
      <c r="AS260" s="780"/>
      <c r="AT260" s="780"/>
      <c r="AU260" s="780"/>
      <c r="AV260" s="780"/>
      <c r="AW260" s="780"/>
      <c r="AX260" s="780"/>
      <c r="AY260" s="780"/>
      <c r="AZ260" s="780"/>
      <c r="BA260" s="780"/>
    </row>
    <row r="261" spans="1:53" x14ac:dyDescent="0.2">
      <c r="A261" s="346"/>
      <c r="B261" s="347"/>
      <c r="C261" s="358"/>
      <c r="D261" s="349"/>
      <c r="E261" s="349"/>
      <c r="F261" s="350"/>
      <c r="G261" s="1211">
        <f t="shared" si="121"/>
        <v>0</v>
      </c>
      <c r="H261" s="339"/>
      <c r="I261" s="339"/>
      <c r="J261" s="339"/>
      <c r="K261" s="339"/>
      <c r="L261" s="339"/>
      <c r="M261" s="339"/>
      <c r="N261" s="339"/>
      <c r="O261" s="339"/>
      <c r="P261" s="339"/>
      <c r="Q261" s="339"/>
      <c r="R261" s="1212">
        <f t="shared" si="122"/>
        <v>0</v>
      </c>
      <c r="S261" s="1237">
        <f t="shared" si="123"/>
        <v>0</v>
      </c>
      <c r="T261" s="341"/>
      <c r="U261" s="381">
        <f t="shared" si="124"/>
        <v>0</v>
      </c>
      <c r="V261" s="342">
        <f t="shared" si="125"/>
        <v>0</v>
      </c>
      <c r="W261" s="342">
        <f t="shared" si="126"/>
        <v>0</v>
      </c>
      <c r="X261" s="342">
        <f t="shared" si="127"/>
        <v>0</v>
      </c>
      <c r="Y261" s="382">
        <f t="shared" si="128"/>
        <v>0</v>
      </c>
      <c r="Z261" s="343">
        <f t="shared" si="129"/>
        <v>0</v>
      </c>
      <c r="AA261" s="343">
        <f t="shared" si="130"/>
        <v>0</v>
      </c>
      <c r="AB261" s="343">
        <f t="shared" si="131"/>
        <v>0</v>
      </c>
      <c r="AC261" s="383">
        <f t="shared" si="132"/>
        <v>0</v>
      </c>
      <c r="AD261" s="344">
        <f t="shared" si="133"/>
        <v>0</v>
      </c>
      <c r="AE261" s="344">
        <f t="shared" si="134"/>
        <v>0</v>
      </c>
      <c r="AF261" s="344">
        <f t="shared" si="135"/>
        <v>0</v>
      </c>
      <c r="AG261" s="345">
        <f t="shared" si="136"/>
        <v>0</v>
      </c>
      <c r="AH261" s="345">
        <f t="shared" si="137"/>
        <v>0</v>
      </c>
      <c r="AI261" s="345">
        <f t="shared" si="138"/>
        <v>0</v>
      </c>
      <c r="AJ261" s="306">
        <f t="shared" si="139"/>
        <v>0</v>
      </c>
      <c r="AK261" s="306">
        <f t="shared" si="140"/>
        <v>0</v>
      </c>
      <c r="AL261" s="306">
        <f t="shared" si="141"/>
        <v>0</v>
      </c>
      <c r="AM261" s="749"/>
      <c r="AN261" s="763"/>
      <c r="AO261" s="780"/>
      <c r="AP261" s="898">
        <f t="shared" si="145"/>
        <v>0</v>
      </c>
      <c r="AQ261" s="900">
        <f t="shared" si="146"/>
        <v>0</v>
      </c>
      <c r="AR261" s="896">
        <f t="shared" si="147"/>
        <v>0</v>
      </c>
      <c r="AS261" s="780"/>
      <c r="AT261" s="780"/>
      <c r="AU261" s="780"/>
      <c r="AV261" s="780"/>
      <c r="AW261" s="780"/>
      <c r="AX261" s="780"/>
      <c r="AY261" s="780"/>
      <c r="AZ261" s="780"/>
      <c r="BA261" s="780"/>
    </row>
    <row r="262" spans="1:53" x14ac:dyDescent="0.2">
      <c r="A262" s="346"/>
      <c r="B262" s="347"/>
      <c r="C262" s="358"/>
      <c r="D262" s="349"/>
      <c r="E262" s="349"/>
      <c r="F262" s="350"/>
      <c r="G262" s="1211">
        <f t="shared" si="121"/>
        <v>0</v>
      </c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1212">
        <f t="shared" si="122"/>
        <v>0</v>
      </c>
      <c r="S262" s="1237">
        <f t="shared" si="123"/>
        <v>0</v>
      </c>
      <c r="T262" s="341"/>
      <c r="U262" s="381">
        <f t="shared" si="124"/>
        <v>0</v>
      </c>
      <c r="V262" s="342">
        <f t="shared" si="125"/>
        <v>0</v>
      </c>
      <c r="W262" s="342">
        <f t="shared" si="126"/>
        <v>0</v>
      </c>
      <c r="X262" s="342">
        <f t="shared" si="127"/>
        <v>0</v>
      </c>
      <c r="Y262" s="382">
        <f t="shared" si="128"/>
        <v>0</v>
      </c>
      <c r="Z262" s="343">
        <f t="shared" si="129"/>
        <v>0</v>
      </c>
      <c r="AA262" s="343">
        <f t="shared" si="130"/>
        <v>0</v>
      </c>
      <c r="AB262" s="343">
        <f t="shared" si="131"/>
        <v>0</v>
      </c>
      <c r="AC262" s="383">
        <f t="shared" si="132"/>
        <v>0</v>
      </c>
      <c r="AD262" s="344">
        <f t="shared" si="133"/>
        <v>0</v>
      </c>
      <c r="AE262" s="344">
        <f t="shared" si="134"/>
        <v>0</v>
      </c>
      <c r="AF262" s="344">
        <f t="shared" si="135"/>
        <v>0</v>
      </c>
      <c r="AG262" s="345">
        <f t="shared" si="136"/>
        <v>0</v>
      </c>
      <c r="AH262" s="345">
        <f t="shared" si="137"/>
        <v>0</v>
      </c>
      <c r="AI262" s="345">
        <f t="shared" si="138"/>
        <v>0</v>
      </c>
      <c r="AJ262" s="306">
        <f t="shared" si="139"/>
        <v>0</v>
      </c>
      <c r="AK262" s="306">
        <f t="shared" si="140"/>
        <v>0</v>
      </c>
      <c r="AL262" s="306">
        <f t="shared" si="141"/>
        <v>0</v>
      </c>
      <c r="AM262" s="749"/>
      <c r="AN262" s="763"/>
      <c r="AO262" s="780"/>
      <c r="AP262" s="898">
        <f t="shared" si="145"/>
        <v>0</v>
      </c>
      <c r="AQ262" s="900">
        <f t="shared" si="146"/>
        <v>0</v>
      </c>
      <c r="AR262" s="896">
        <f t="shared" si="147"/>
        <v>0</v>
      </c>
      <c r="AS262" s="780"/>
      <c r="AT262" s="780"/>
      <c r="AU262" s="780"/>
      <c r="AV262" s="780"/>
      <c r="AW262" s="780"/>
      <c r="AX262" s="780"/>
      <c r="AY262" s="780"/>
      <c r="AZ262" s="780"/>
      <c r="BA262" s="780"/>
    </row>
    <row r="263" spans="1:53" x14ac:dyDescent="0.2">
      <c r="A263" s="346"/>
      <c r="B263" s="347"/>
      <c r="C263" s="358"/>
      <c r="D263" s="349"/>
      <c r="E263" s="349"/>
      <c r="F263" s="350"/>
      <c r="G263" s="1211">
        <f t="shared" si="121"/>
        <v>0</v>
      </c>
      <c r="H263" s="339"/>
      <c r="I263" s="339"/>
      <c r="J263" s="339"/>
      <c r="K263" s="339"/>
      <c r="L263" s="339"/>
      <c r="M263" s="339"/>
      <c r="N263" s="339"/>
      <c r="O263" s="339"/>
      <c r="P263" s="339"/>
      <c r="Q263" s="339"/>
      <c r="R263" s="1212">
        <f t="shared" si="122"/>
        <v>0</v>
      </c>
      <c r="S263" s="1237">
        <f t="shared" si="123"/>
        <v>0</v>
      </c>
      <c r="T263" s="341"/>
      <c r="U263" s="381">
        <f t="shared" si="124"/>
        <v>0</v>
      </c>
      <c r="V263" s="342">
        <f t="shared" si="125"/>
        <v>0</v>
      </c>
      <c r="W263" s="342">
        <f t="shared" si="126"/>
        <v>0</v>
      </c>
      <c r="X263" s="342">
        <f t="shared" si="127"/>
        <v>0</v>
      </c>
      <c r="Y263" s="382">
        <f t="shared" si="128"/>
        <v>0</v>
      </c>
      <c r="Z263" s="343">
        <f t="shared" si="129"/>
        <v>0</v>
      </c>
      <c r="AA263" s="343">
        <f t="shared" si="130"/>
        <v>0</v>
      </c>
      <c r="AB263" s="343">
        <f t="shared" si="131"/>
        <v>0</v>
      </c>
      <c r="AC263" s="383">
        <f t="shared" si="132"/>
        <v>0</v>
      </c>
      <c r="AD263" s="344">
        <f t="shared" si="133"/>
        <v>0</v>
      </c>
      <c r="AE263" s="344">
        <f t="shared" si="134"/>
        <v>0</v>
      </c>
      <c r="AF263" s="344">
        <f t="shared" si="135"/>
        <v>0</v>
      </c>
      <c r="AG263" s="345">
        <f t="shared" si="136"/>
        <v>0</v>
      </c>
      <c r="AH263" s="345">
        <f t="shared" si="137"/>
        <v>0</v>
      </c>
      <c r="AI263" s="345">
        <f t="shared" si="138"/>
        <v>0</v>
      </c>
      <c r="AJ263" s="306">
        <f t="shared" si="139"/>
        <v>0</v>
      </c>
      <c r="AK263" s="306">
        <f t="shared" si="140"/>
        <v>0</v>
      </c>
      <c r="AL263" s="306">
        <f t="shared" si="141"/>
        <v>0</v>
      </c>
      <c r="AM263" s="749"/>
      <c r="AN263" s="763"/>
      <c r="AO263" s="780"/>
      <c r="AP263" s="898">
        <f t="shared" si="145"/>
        <v>0</v>
      </c>
      <c r="AQ263" s="900">
        <f t="shared" si="146"/>
        <v>0</v>
      </c>
      <c r="AR263" s="896">
        <f t="shared" si="147"/>
        <v>0</v>
      </c>
      <c r="AS263" s="780"/>
      <c r="AT263" s="780"/>
      <c r="AU263" s="780"/>
      <c r="AV263" s="780"/>
      <c r="AW263" s="780"/>
      <c r="AX263" s="780"/>
      <c r="AY263" s="780"/>
      <c r="AZ263" s="780"/>
      <c r="BA263" s="780"/>
    </row>
    <row r="264" spans="1:53" ht="13.5" thickBot="1" x14ac:dyDescent="0.25">
      <c r="A264" s="346"/>
      <c r="B264" s="347"/>
      <c r="C264" s="358"/>
      <c r="D264" s="349"/>
      <c r="E264" s="349"/>
      <c r="F264" s="350"/>
      <c r="G264" s="1211">
        <f t="shared" si="121"/>
        <v>0</v>
      </c>
      <c r="H264" s="339"/>
      <c r="I264" s="339"/>
      <c r="J264" s="339"/>
      <c r="K264" s="339"/>
      <c r="L264" s="339"/>
      <c r="M264" s="339"/>
      <c r="N264" s="339"/>
      <c r="O264" s="339"/>
      <c r="P264" s="339"/>
      <c r="Q264" s="339"/>
      <c r="R264" s="1212">
        <f t="shared" si="122"/>
        <v>0</v>
      </c>
      <c r="S264" s="1237">
        <f t="shared" si="123"/>
        <v>0</v>
      </c>
      <c r="T264" s="341"/>
      <c r="U264" s="381">
        <f t="shared" si="124"/>
        <v>0</v>
      </c>
      <c r="V264" s="342">
        <f t="shared" si="125"/>
        <v>0</v>
      </c>
      <c r="W264" s="342">
        <f t="shared" si="126"/>
        <v>0</v>
      </c>
      <c r="X264" s="342">
        <f t="shared" si="127"/>
        <v>0</v>
      </c>
      <c r="Y264" s="382">
        <f t="shared" si="128"/>
        <v>0</v>
      </c>
      <c r="Z264" s="343">
        <f t="shared" si="129"/>
        <v>0</v>
      </c>
      <c r="AA264" s="343">
        <f t="shared" si="130"/>
        <v>0</v>
      </c>
      <c r="AB264" s="343">
        <f t="shared" si="131"/>
        <v>0</v>
      </c>
      <c r="AC264" s="383">
        <f t="shared" si="132"/>
        <v>0</v>
      </c>
      <c r="AD264" s="344">
        <f t="shared" si="133"/>
        <v>0</v>
      </c>
      <c r="AE264" s="344">
        <f t="shared" si="134"/>
        <v>0</v>
      </c>
      <c r="AF264" s="344">
        <f t="shared" si="135"/>
        <v>0</v>
      </c>
      <c r="AG264" s="345">
        <f t="shared" si="136"/>
        <v>0</v>
      </c>
      <c r="AH264" s="345">
        <f t="shared" si="137"/>
        <v>0</v>
      </c>
      <c r="AI264" s="345">
        <f t="shared" si="138"/>
        <v>0</v>
      </c>
      <c r="AJ264" s="306">
        <f t="shared" si="139"/>
        <v>0</v>
      </c>
      <c r="AK264" s="306">
        <f t="shared" si="140"/>
        <v>0</v>
      </c>
      <c r="AL264" s="306">
        <f t="shared" si="141"/>
        <v>0</v>
      </c>
      <c r="AM264" s="749"/>
      <c r="AN264" s="763"/>
      <c r="AO264" s="780"/>
      <c r="AP264" s="898">
        <f t="shared" si="145"/>
        <v>0</v>
      </c>
      <c r="AQ264" s="900">
        <f t="shared" si="146"/>
        <v>0</v>
      </c>
      <c r="AR264" s="896">
        <f t="shared" si="147"/>
        <v>0</v>
      </c>
      <c r="AS264" s="780"/>
      <c r="AT264" s="780"/>
      <c r="AU264" s="780"/>
      <c r="AV264" s="780"/>
      <c r="AW264" s="780"/>
      <c r="AX264" s="780"/>
      <c r="AY264" s="780"/>
      <c r="AZ264" s="780"/>
      <c r="BA264" s="780"/>
    </row>
    <row r="265" spans="1:53" ht="13.5" thickBot="1" x14ac:dyDescent="0.25">
      <c r="A265" s="1242" t="s">
        <v>388</v>
      </c>
      <c r="B265" s="1243"/>
      <c r="C265" s="1225">
        <f>SUM(C250:C264)</f>
        <v>0</v>
      </c>
      <c r="D265" s="1226"/>
      <c r="E265" s="1226"/>
      <c r="F265" s="1226"/>
      <c r="G265" s="1254">
        <f t="shared" ref="G265:Q265" si="148">IFERROR(SUM(G250:G264)/$C$265,0)</f>
        <v>0</v>
      </c>
      <c r="H265" s="1228">
        <f t="shared" si="148"/>
        <v>0</v>
      </c>
      <c r="I265" s="1228">
        <f t="shared" si="148"/>
        <v>0</v>
      </c>
      <c r="J265" s="1228">
        <f t="shared" si="148"/>
        <v>0</v>
      </c>
      <c r="K265" s="1228">
        <f t="shared" si="148"/>
        <v>0</v>
      </c>
      <c r="L265" s="1228">
        <f t="shared" si="148"/>
        <v>0</v>
      </c>
      <c r="M265" s="1228">
        <f t="shared" si="148"/>
        <v>0</v>
      </c>
      <c r="N265" s="1228">
        <f t="shared" si="148"/>
        <v>0</v>
      </c>
      <c r="O265" s="1228">
        <f t="shared" si="148"/>
        <v>0</v>
      </c>
      <c r="P265" s="1228">
        <f t="shared" si="148"/>
        <v>0</v>
      </c>
      <c r="Q265" s="1228">
        <f t="shared" si="148"/>
        <v>0</v>
      </c>
      <c r="R265" s="1262">
        <f>SUM(R250:R264)</f>
        <v>0</v>
      </c>
      <c r="S265" s="1230">
        <f>IFERROR(SUM(R265/C265),0)</f>
        <v>0</v>
      </c>
      <c r="T265" s="308"/>
      <c r="U265" s="308"/>
      <c r="V265" s="308"/>
      <c r="W265" s="308"/>
      <c r="X265" s="308"/>
      <c r="Y265" s="308"/>
      <c r="Z265" s="308"/>
      <c r="AA265" s="308"/>
      <c r="AB265" s="308"/>
      <c r="AC265" s="308"/>
      <c r="AD265" s="308"/>
      <c r="AE265" s="308"/>
      <c r="AF265" s="308"/>
      <c r="AG265" s="308"/>
      <c r="AH265" s="308"/>
      <c r="AI265" s="308"/>
      <c r="AJ265" s="308"/>
      <c r="AK265" s="308"/>
      <c r="AL265" s="308"/>
      <c r="AM265" s="751"/>
      <c r="AN265" s="765"/>
      <c r="AO265" s="782"/>
      <c r="AP265" s="933">
        <f>SUM(AP250:AP264)</f>
        <v>0</v>
      </c>
      <c r="AQ265" s="933">
        <f t="shared" ref="AQ265:AR265" si="149">SUM(AQ250:AQ264)</f>
        <v>0</v>
      </c>
      <c r="AR265" s="933">
        <f t="shared" si="149"/>
        <v>0</v>
      </c>
      <c r="AS265" s="782"/>
      <c r="AT265" s="782"/>
      <c r="AU265" s="782"/>
      <c r="AV265" s="782"/>
      <c r="AW265" s="782"/>
      <c r="AX265" s="782"/>
      <c r="AY265" s="782"/>
      <c r="AZ265" s="782"/>
      <c r="BA265" s="782"/>
    </row>
    <row r="266" spans="1:53" ht="13.5" thickBot="1" x14ac:dyDescent="0.25">
      <c r="A266" s="1245"/>
      <c r="B266" s="1246"/>
      <c r="G266" s="1247"/>
      <c r="H266" s="1247"/>
      <c r="P266" s="1399" t="s">
        <v>1193</v>
      </c>
      <c r="Q266" s="1400"/>
      <c r="R266" s="1401"/>
      <c r="S266" s="1261">
        <f>S265*(100+$R$8)%*(100+$R$9)%</f>
        <v>0</v>
      </c>
      <c r="T266" s="363"/>
      <c r="U266" s="364"/>
      <c r="V266" s="364"/>
      <c r="W266" s="364"/>
      <c r="X266" s="364"/>
      <c r="Y266" s="364"/>
      <c r="Z266" s="364"/>
      <c r="AA266" s="364"/>
      <c r="AB266" s="364"/>
      <c r="AC266" s="364"/>
      <c r="AD266" s="364"/>
      <c r="AE266" s="364"/>
      <c r="AF266" s="364"/>
      <c r="AG266" s="364"/>
      <c r="AH266" s="364"/>
      <c r="AI266" s="364"/>
      <c r="AJ266" s="364"/>
      <c r="AK266" s="364"/>
      <c r="AL266" s="364"/>
      <c r="AM266" s="753"/>
      <c r="AN266" s="768"/>
      <c r="AO266" s="785"/>
      <c r="AP266" s="785"/>
      <c r="AQ266" s="785"/>
      <c r="AR266" s="785"/>
      <c r="AS266" s="785"/>
      <c r="AT266" s="785"/>
      <c r="AU266" s="785"/>
      <c r="AV266" s="785"/>
      <c r="AW266" s="785"/>
      <c r="AX266" s="785"/>
      <c r="AY266" s="785"/>
      <c r="AZ266" s="785"/>
      <c r="BA266" s="785"/>
    </row>
    <row r="267" spans="1:53" x14ac:dyDescent="0.2">
      <c r="A267" s="1263" t="s">
        <v>1140</v>
      </c>
      <c r="B267" s="1246"/>
      <c r="C267" s="1264" t="str">
        <f>IFERROR(AP367/AV35,"")</f>
        <v/>
      </c>
      <c r="D267" s="1263" t="s">
        <v>1141</v>
      </c>
      <c r="G267" s="1247"/>
      <c r="H267" s="1247"/>
      <c r="P267" s="1265"/>
      <c r="Q267" s="1265"/>
      <c r="R267" s="1265"/>
      <c r="S267" s="1266"/>
      <c r="T267" s="363"/>
      <c r="U267" s="364"/>
      <c r="V267" s="364"/>
      <c r="W267" s="364"/>
      <c r="X267" s="364"/>
      <c r="Y267" s="364"/>
      <c r="Z267" s="364"/>
      <c r="AA267" s="364"/>
      <c r="AB267" s="364"/>
      <c r="AC267" s="364"/>
      <c r="AD267" s="364"/>
      <c r="AE267" s="364"/>
      <c r="AF267" s="364"/>
      <c r="AG267" s="364"/>
      <c r="AH267" s="364"/>
      <c r="AI267" s="364"/>
      <c r="AJ267" s="364"/>
      <c r="AK267" s="364"/>
      <c r="AL267" s="364"/>
      <c r="AM267" s="753"/>
      <c r="AN267" s="768"/>
      <c r="AO267" s="785"/>
      <c r="AP267" s="785"/>
      <c r="AQ267" s="785"/>
      <c r="AR267" s="785"/>
      <c r="AS267" s="785"/>
      <c r="AT267" s="785"/>
      <c r="AU267" s="785"/>
      <c r="AV267" s="785"/>
      <c r="AW267" s="785"/>
      <c r="AX267" s="785"/>
      <c r="AY267" s="785"/>
      <c r="AZ267" s="785"/>
      <c r="BA267" s="785"/>
    </row>
    <row r="268" spans="1:53" ht="15.75" customHeight="1" x14ac:dyDescent="0.2">
      <c r="A268" s="1231"/>
      <c r="G268" s="1247"/>
      <c r="H268" s="1247"/>
      <c r="S268" s="1267"/>
      <c r="T268" s="328"/>
      <c r="AM268" s="309"/>
      <c r="AN268" s="766"/>
      <c r="AO268" s="783"/>
      <c r="AP268" s="783"/>
      <c r="AQ268" s="783"/>
      <c r="AR268" s="783"/>
      <c r="AS268" s="783"/>
      <c r="AT268" s="783"/>
      <c r="AU268" s="783"/>
      <c r="AV268" s="783"/>
      <c r="AW268" s="783"/>
      <c r="AX268" s="783"/>
      <c r="AY268" s="783"/>
      <c r="AZ268" s="783"/>
      <c r="BA268" s="783"/>
    </row>
    <row r="269" spans="1:53" x14ac:dyDescent="0.2">
      <c r="A269" s="1233" t="s">
        <v>389</v>
      </c>
      <c r="B269" s="194"/>
      <c r="G269" s="1247"/>
      <c r="H269" s="1247"/>
      <c r="J269" s="1721"/>
      <c r="K269" s="1721"/>
      <c r="L269" s="1721"/>
      <c r="M269" s="1721"/>
      <c r="N269" s="1721"/>
      <c r="O269" s="1721"/>
      <c r="P269" s="1721"/>
      <c r="Q269" s="1721"/>
      <c r="R269" s="1721"/>
      <c r="S269" s="1722"/>
      <c r="T269" s="362"/>
      <c r="U269" s="311"/>
      <c r="V269" s="311"/>
      <c r="W269" s="311"/>
      <c r="X269" s="311"/>
      <c r="Y269" s="311"/>
      <c r="Z269" s="311"/>
      <c r="AA269" s="311"/>
      <c r="AB269" s="311"/>
      <c r="AC269" s="311"/>
      <c r="AD269" s="311"/>
      <c r="AE269" s="311"/>
      <c r="AF269" s="311"/>
      <c r="AG269" s="311"/>
      <c r="AH269" s="311"/>
      <c r="AI269" s="311"/>
      <c r="AJ269" s="311"/>
      <c r="AK269" s="311"/>
      <c r="AL269" s="311"/>
      <c r="AM269" s="311"/>
      <c r="AN269" s="769"/>
      <c r="AO269" s="786"/>
      <c r="AP269" s="786"/>
      <c r="AQ269" s="786"/>
      <c r="AR269" s="786"/>
      <c r="AS269" s="786"/>
      <c r="AT269" s="786"/>
      <c r="AU269" s="786"/>
      <c r="AV269" s="786"/>
      <c r="AW269" s="786"/>
      <c r="AX269" s="786"/>
      <c r="AY269" s="786"/>
      <c r="AZ269" s="786"/>
      <c r="BA269" s="786"/>
    </row>
    <row r="270" spans="1:53" x14ac:dyDescent="0.2">
      <c r="A270" s="346"/>
      <c r="B270" s="347"/>
      <c r="C270" s="358"/>
      <c r="D270" s="349"/>
      <c r="E270" s="349"/>
      <c r="F270" s="350"/>
      <c r="G270" s="1211">
        <f t="shared" ref="G270:G294" si="150">IFERROR(F270*C270,"")</f>
        <v>0</v>
      </c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1236">
        <f t="shared" ref="R270:R294" si="151">IFERROR(IF(A270&lt;&gt;"GfB",(SUM(G270:J270,L270,P270)*12+(N270+O270))*(100+$J$12+$J$13)%+((K270+M270+Q270)*12),(SUM(G270:J270,L270,P270)*12+(N270+O270))*(100+$J$15+$J$13)%+((K270+M270+Q270)*12)),0)</f>
        <v>0</v>
      </c>
      <c r="S270" s="1237">
        <f t="shared" ref="S270:S294" si="152">IF(ISERROR(R270/C270),0,(R270/C270))</f>
        <v>0</v>
      </c>
      <c r="T270" s="341"/>
      <c r="U270" s="381">
        <f t="shared" ref="U270:U294" si="153">(IF(AND($B270="PFK/BFK",$C270&gt;0,$F270&gt;0),($G270+$H270),0))</f>
        <v>0</v>
      </c>
      <c r="V270" s="342">
        <f t="shared" ref="V270:V294" si="154">(IF(AND($B270="PFK/BFK",$C270&gt;0,$F270&gt;0),$I270,0))</f>
        <v>0</v>
      </c>
      <c r="W270" s="342">
        <f t="shared" ref="W270:W294" si="155">(IF(AND($B270="PFK/BFK",$C270&gt;0,$F270&gt;0),($J270+$K270),0))</f>
        <v>0</v>
      </c>
      <c r="X270" s="342">
        <f t="shared" ref="X270:X294" si="156">(IF(AND($B270="PFK/BFK",$C270&gt;0,$F270&gt;0),(($N270+$O270)/12),0))</f>
        <v>0</v>
      </c>
      <c r="Y270" s="382">
        <f t="shared" ref="Y270:Y294" si="157">(IF(AND($B270="PK/BK",$C270&gt;0,$F270&gt;0),($G270+$H270),0))</f>
        <v>0</v>
      </c>
      <c r="Z270" s="343">
        <f t="shared" ref="Z270:Z294" si="158">(IF(AND($B270="PK/BK",$C270&gt;0,$F270&gt;0),$I270,0))</f>
        <v>0</v>
      </c>
      <c r="AA270" s="343">
        <f t="shared" ref="AA270:AA294" si="159">(IF(AND($B270="PK/BK",$C270&gt;0,$F270&gt;0),($J270+$K270),0))</f>
        <v>0</v>
      </c>
      <c r="AB270" s="343">
        <f t="shared" ref="AB270:AB294" si="160">(IF(AND($B270="PK/BK",$C270&gt;0,$F270&gt;0),(($N270+$O270)/12),0))</f>
        <v>0</v>
      </c>
      <c r="AC270" s="383">
        <f t="shared" ref="AC270:AC294" si="161">(IF(AND($B270="PK/BK o.",$C270&gt;0,$F270&gt;0),($G270+$H270),0))</f>
        <v>0</v>
      </c>
      <c r="AD270" s="344">
        <f t="shared" ref="AD270:AD294" si="162">(IF(AND($B270="PK/BK o.",$C270&gt;0,$F270&gt;0),$I270,0))</f>
        <v>0</v>
      </c>
      <c r="AE270" s="344">
        <f t="shared" ref="AE270:AE294" si="163">(IF(AND($B270="PK/BK o.",$C270&gt;0,$F270&gt;0),($J270+$K270),0))</f>
        <v>0</v>
      </c>
      <c r="AF270" s="344">
        <f t="shared" ref="AF270:AF294" si="164">(IF(AND($B270="PK/BK o.",$C270&gt;0,$F270&gt;0),(($N270+$O270)/12),0))</f>
        <v>0</v>
      </c>
      <c r="AG270" s="345">
        <f t="shared" ref="AG270:AG294" si="165">IF(AND($B270="PFK/BFK",$C270&gt;0,$F270&gt;0),$C270,0)</f>
        <v>0</v>
      </c>
      <c r="AH270" s="345">
        <f t="shared" ref="AH270:AH294" si="166">IF(AND($B270="PK/BK",$C270&gt;0,$F270&gt;0),$C270,0)</f>
        <v>0</v>
      </c>
      <c r="AI270" s="345">
        <f t="shared" ref="AI270:AI294" si="167">IF(AND($B270="PK/BK o.",$C270&gt;0,$F270&gt;0),$C270,0)</f>
        <v>0</v>
      </c>
      <c r="AJ270" s="306">
        <f t="shared" ref="AJ270:AJ294" si="168">IF(AND($B270="PFK/BFK",$C270&gt;0,$F270&gt;0),$R270,0)</f>
        <v>0</v>
      </c>
      <c r="AK270" s="306">
        <f t="shared" ref="AK270:AK294" si="169">IF(AND($B270="PK/BK",$C270&gt;0,$F270&gt;0),$R270,0)</f>
        <v>0</v>
      </c>
      <c r="AL270" s="306">
        <f t="shared" ref="AL270:AL294" si="170">IF(AND($B270="PK/BK o.",$C270&gt;0,$F270&gt;0),$R270,0)</f>
        <v>0</v>
      </c>
      <c r="AM270" s="749"/>
      <c r="AN270" s="763"/>
      <c r="AO270" s="780"/>
      <c r="AP270" s="896"/>
      <c r="AQ270" s="896"/>
      <c r="AR270" s="896"/>
      <c r="AS270" s="780"/>
      <c r="AT270" s="780"/>
      <c r="AU270" s="780"/>
      <c r="AV270" s="780"/>
      <c r="AW270" s="780"/>
      <c r="AX270" s="780"/>
      <c r="AY270" s="780"/>
      <c r="AZ270" s="780"/>
      <c r="BA270" s="780"/>
    </row>
    <row r="271" spans="1:53" x14ac:dyDescent="0.2">
      <c r="A271" s="346"/>
      <c r="B271" s="347"/>
      <c r="C271" s="358"/>
      <c r="D271" s="349"/>
      <c r="E271" s="349"/>
      <c r="F271" s="350"/>
      <c r="G271" s="1211">
        <f t="shared" si="150"/>
        <v>0</v>
      </c>
      <c r="H271" s="339"/>
      <c r="I271" s="339"/>
      <c r="J271" s="339"/>
      <c r="K271" s="339"/>
      <c r="L271" s="339"/>
      <c r="M271" s="339"/>
      <c r="N271" s="339"/>
      <c r="O271" s="339"/>
      <c r="P271" s="339"/>
      <c r="Q271" s="339"/>
      <c r="R271" s="1236">
        <f t="shared" si="151"/>
        <v>0</v>
      </c>
      <c r="S271" s="1237">
        <f t="shared" si="152"/>
        <v>0</v>
      </c>
      <c r="T271" s="341"/>
      <c r="U271" s="381">
        <f t="shared" si="153"/>
        <v>0</v>
      </c>
      <c r="V271" s="342">
        <f t="shared" si="154"/>
        <v>0</v>
      </c>
      <c r="W271" s="342">
        <f t="shared" si="155"/>
        <v>0</v>
      </c>
      <c r="X271" s="342">
        <f t="shared" si="156"/>
        <v>0</v>
      </c>
      <c r="Y271" s="382">
        <f t="shared" si="157"/>
        <v>0</v>
      </c>
      <c r="Z271" s="343">
        <f t="shared" si="158"/>
        <v>0</v>
      </c>
      <c r="AA271" s="343">
        <f t="shared" si="159"/>
        <v>0</v>
      </c>
      <c r="AB271" s="343">
        <f t="shared" si="160"/>
        <v>0</v>
      </c>
      <c r="AC271" s="383">
        <f t="shared" si="161"/>
        <v>0</v>
      </c>
      <c r="AD271" s="344">
        <f t="shared" si="162"/>
        <v>0</v>
      </c>
      <c r="AE271" s="344">
        <f t="shared" si="163"/>
        <v>0</v>
      </c>
      <c r="AF271" s="344">
        <f t="shared" si="164"/>
        <v>0</v>
      </c>
      <c r="AG271" s="345">
        <f t="shared" si="165"/>
        <v>0</v>
      </c>
      <c r="AH271" s="345">
        <f t="shared" si="166"/>
        <v>0</v>
      </c>
      <c r="AI271" s="345">
        <f t="shared" si="167"/>
        <v>0</v>
      </c>
      <c r="AJ271" s="306">
        <f t="shared" si="168"/>
        <v>0</v>
      </c>
      <c r="AK271" s="306">
        <f t="shared" si="169"/>
        <v>0</v>
      </c>
      <c r="AL271" s="306">
        <f t="shared" si="170"/>
        <v>0</v>
      </c>
      <c r="AM271" s="749"/>
      <c r="AN271" s="763"/>
      <c r="AO271" s="780"/>
      <c r="AP271" s="896"/>
      <c r="AQ271" s="896"/>
      <c r="AR271" s="896"/>
      <c r="AS271" s="780"/>
      <c r="AT271" s="780"/>
      <c r="AU271" s="780"/>
      <c r="AV271" s="780"/>
      <c r="AW271" s="780"/>
      <c r="AX271" s="780"/>
      <c r="AY271" s="780"/>
      <c r="AZ271" s="780"/>
      <c r="BA271" s="780"/>
    </row>
    <row r="272" spans="1:53" x14ac:dyDescent="0.2">
      <c r="A272" s="346"/>
      <c r="B272" s="347"/>
      <c r="C272" s="358"/>
      <c r="D272" s="349"/>
      <c r="E272" s="349"/>
      <c r="F272" s="350"/>
      <c r="G272" s="1211">
        <f t="shared" si="150"/>
        <v>0</v>
      </c>
      <c r="H272" s="339"/>
      <c r="I272" s="339"/>
      <c r="J272" s="339"/>
      <c r="K272" s="339"/>
      <c r="L272" s="339"/>
      <c r="M272" s="339"/>
      <c r="N272" s="339"/>
      <c r="O272" s="339"/>
      <c r="P272" s="339"/>
      <c r="Q272" s="339"/>
      <c r="R272" s="1236">
        <f t="shared" si="151"/>
        <v>0</v>
      </c>
      <c r="S272" s="1237">
        <f t="shared" si="152"/>
        <v>0</v>
      </c>
      <c r="T272" s="341"/>
      <c r="U272" s="381">
        <f t="shared" si="153"/>
        <v>0</v>
      </c>
      <c r="V272" s="342">
        <f t="shared" si="154"/>
        <v>0</v>
      </c>
      <c r="W272" s="342">
        <f t="shared" si="155"/>
        <v>0</v>
      </c>
      <c r="X272" s="342">
        <f t="shared" si="156"/>
        <v>0</v>
      </c>
      <c r="Y272" s="382">
        <f t="shared" si="157"/>
        <v>0</v>
      </c>
      <c r="Z272" s="343">
        <f t="shared" si="158"/>
        <v>0</v>
      </c>
      <c r="AA272" s="343">
        <f t="shared" si="159"/>
        <v>0</v>
      </c>
      <c r="AB272" s="343">
        <f t="shared" si="160"/>
        <v>0</v>
      </c>
      <c r="AC272" s="383">
        <f t="shared" si="161"/>
        <v>0</v>
      </c>
      <c r="AD272" s="344">
        <f t="shared" si="162"/>
        <v>0</v>
      </c>
      <c r="AE272" s="344">
        <f t="shared" si="163"/>
        <v>0</v>
      </c>
      <c r="AF272" s="344">
        <f t="shared" si="164"/>
        <v>0</v>
      </c>
      <c r="AG272" s="345">
        <f t="shared" si="165"/>
        <v>0</v>
      </c>
      <c r="AH272" s="345">
        <f t="shared" si="166"/>
        <v>0</v>
      </c>
      <c r="AI272" s="345">
        <f t="shared" si="167"/>
        <v>0</v>
      </c>
      <c r="AJ272" s="306">
        <f t="shared" si="168"/>
        <v>0</v>
      </c>
      <c r="AK272" s="306">
        <f t="shared" si="169"/>
        <v>0</v>
      </c>
      <c r="AL272" s="306">
        <f t="shared" si="170"/>
        <v>0</v>
      </c>
      <c r="AM272" s="749"/>
      <c r="AN272" s="763"/>
      <c r="AO272" s="780"/>
      <c r="AP272" s="896"/>
      <c r="AQ272" s="896"/>
      <c r="AR272" s="896"/>
      <c r="AS272" s="780"/>
      <c r="AT272" s="780"/>
      <c r="AU272" s="780"/>
      <c r="AV272" s="780"/>
      <c r="AW272" s="780"/>
      <c r="AX272" s="780"/>
      <c r="AY272" s="780"/>
      <c r="AZ272" s="780"/>
      <c r="BA272" s="780"/>
    </row>
    <row r="273" spans="1:53" x14ac:dyDescent="0.2">
      <c r="A273" s="346"/>
      <c r="B273" s="347"/>
      <c r="C273" s="358"/>
      <c r="D273" s="349"/>
      <c r="E273" s="349"/>
      <c r="F273" s="350"/>
      <c r="G273" s="1211">
        <f t="shared" si="150"/>
        <v>0</v>
      </c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1236">
        <f t="shared" si="151"/>
        <v>0</v>
      </c>
      <c r="S273" s="1237">
        <f t="shared" si="152"/>
        <v>0</v>
      </c>
      <c r="T273" s="341"/>
      <c r="U273" s="381">
        <f t="shared" si="153"/>
        <v>0</v>
      </c>
      <c r="V273" s="342">
        <f t="shared" si="154"/>
        <v>0</v>
      </c>
      <c r="W273" s="342">
        <f t="shared" si="155"/>
        <v>0</v>
      </c>
      <c r="X273" s="342">
        <f t="shared" si="156"/>
        <v>0</v>
      </c>
      <c r="Y273" s="382">
        <f t="shared" si="157"/>
        <v>0</v>
      </c>
      <c r="Z273" s="343">
        <f t="shared" si="158"/>
        <v>0</v>
      </c>
      <c r="AA273" s="343">
        <f t="shared" si="159"/>
        <v>0</v>
      </c>
      <c r="AB273" s="343">
        <f t="shared" si="160"/>
        <v>0</v>
      </c>
      <c r="AC273" s="383">
        <f t="shared" si="161"/>
        <v>0</v>
      </c>
      <c r="AD273" s="344">
        <f t="shared" si="162"/>
        <v>0</v>
      </c>
      <c r="AE273" s="344">
        <f t="shared" si="163"/>
        <v>0</v>
      </c>
      <c r="AF273" s="344">
        <f t="shared" si="164"/>
        <v>0</v>
      </c>
      <c r="AG273" s="345">
        <f t="shared" si="165"/>
        <v>0</v>
      </c>
      <c r="AH273" s="345">
        <f t="shared" si="166"/>
        <v>0</v>
      </c>
      <c r="AI273" s="345">
        <f t="shared" si="167"/>
        <v>0</v>
      </c>
      <c r="AJ273" s="306">
        <f t="shared" si="168"/>
        <v>0</v>
      </c>
      <c r="AK273" s="306">
        <f t="shared" si="169"/>
        <v>0</v>
      </c>
      <c r="AL273" s="306">
        <f t="shared" si="170"/>
        <v>0</v>
      </c>
      <c r="AM273" s="749"/>
      <c r="AN273" s="763"/>
      <c r="AO273" s="780"/>
      <c r="AP273" s="896"/>
      <c r="AQ273" s="896"/>
      <c r="AR273" s="896"/>
      <c r="AS273" s="780"/>
      <c r="AT273" s="780"/>
      <c r="AU273" s="780"/>
      <c r="AV273" s="780"/>
      <c r="AW273" s="780"/>
      <c r="AX273" s="780"/>
      <c r="AY273" s="780"/>
      <c r="AZ273" s="780"/>
      <c r="BA273" s="780"/>
    </row>
    <row r="274" spans="1:53" x14ac:dyDescent="0.2">
      <c r="A274" s="346"/>
      <c r="B274" s="347"/>
      <c r="C274" s="358"/>
      <c r="D274" s="349"/>
      <c r="E274" s="349"/>
      <c r="F274" s="350"/>
      <c r="G274" s="1211">
        <f t="shared" si="150"/>
        <v>0</v>
      </c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1236">
        <f t="shared" si="151"/>
        <v>0</v>
      </c>
      <c r="S274" s="1237">
        <f t="shared" si="152"/>
        <v>0</v>
      </c>
      <c r="T274" s="341"/>
      <c r="U274" s="381">
        <f t="shared" si="153"/>
        <v>0</v>
      </c>
      <c r="V274" s="342">
        <f t="shared" si="154"/>
        <v>0</v>
      </c>
      <c r="W274" s="342">
        <f t="shared" si="155"/>
        <v>0</v>
      </c>
      <c r="X274" s="342">
        <f t="shared" si="156"/>
        <v>0</v>
      </c>
      <c r="Y274" s="382">
        <f t="shared" si="157"/>
        <v>0</v>
      </c>
      <c r="Z274" s="343">
        <f t="shared" si="158"/>
        <v>0</v>
      </c>
      <c r="AA274" s="343">
        <f t="shared" si="159"/>
        <v>0</v>
      </c>
      <c r="AB274" s="343">
        <f t="shared" si="160"/>
        <v>0</v>
      </c>
      <c r="AC274" s="383">
        <f t="shared" si="161"/>
        <v>0</v>
      </c>
      <c r="AD274" s="344">
        <f t="shared" si="162"/>
        <v>0</v>
      </c>
      <c r="AE274" s="344">
        <f t="shared" si="163"/>
        <v>0</v>
      </c>
      <c r="AF274" s="344">
        <f t="shared" si="164"/>
        <v>0</v>
      </c>
      <c r="AG274" s="345">
        <f t="shared" si="165"/>
        <v>0</v>
      </c>
      <c r="AH274" s="345">
        <f t="shared" si="166"/>
        <v>0</v>
      </c>
      <c r="AI274" s="345">
        <f t="shared" si="167"/>
        <v>0</v>
      </c>
      <c r="AJ274" s="306">
        <f t="shared" si="168"/>
        <v>0</v>
      </c>
      <c r="AK274" s="306">
        <f t="shared" si="169"/>
        <v>0</v>
      </c>
      <c r="AL274" s="306">
        <f t="shared" si="170"/>
        <v>0</v>
      </c>
      <c r="AM274" s="749"/>
      <c r="AN274" s="763"/>
      <c r="AO274" s="780"/>
      <c r="AP274" s="896"/>
      <c r="AQ274" s="896"/>
      <c r="AR274" s="896"/>
      <c r="AS274" s="780"/>
      <c r="AT274" s="780"/>
      <c r="AU274" s="780"/>
      <c r="AV274" s="780"/>
      <c r="AW274" s="780"/>
      <c r="AX274" s="780"/>
      <c r="AY274" s="780"/>
      <c r="AZ274" s="780"/>
      <c r="BA274" s="780"/>
    </row>
    <row r="275" spans="1:53" x14ac:dyDescent="0.2">
      <c r="A275" s="346"/>
      <c r="B275" s="347"/>
      <c r="C275" s="358"/>
      <c r="D275" s="349"/>
      <c r="E275" s="349"/>
      <c r="F275" s="350"/>
      <c r="G275" s="1211">
        <f t="shared" si="150"/>
        <v>0</v>
      </c>
      <c r="H275" s="339"/>
      <c r="I275" s="339"/>
      <c r="J275" s="339"/>
      <c r="K275" s="339"/>
      <c r="L275" s="339"/>
      <c r="M275" s="339"/>
      <c r="N275" s="339"/>
      <c r="O275" s="339"/>
      <c r="P275" s="339"/>
      <c r="Q275" s="339"/>
      <c r="R275" s="1236">
        <f t="shared" si="151"/>
        <v>0</v>
      </c>
      <c r="S275" s="1237">
        <f t="shared" si="152"/>
        <v>0</v>
      </c>
      <c r="T275" s="341"/>
      <c r="U275" s="381">
        <f t="shared" si="153"/>
        <v>0</v>
      </c>
      <c r="V275" s="342">
        <f t="shared" si="154"/>
        <v>0</v>
      </c>
      <c r="W275" s="342">
        <f t="shared" si="155"/>
        <v>0</v>
      </c>
      <c r="X275" s="342">
        <f t="shared" si="156"/>
        <v>0</v>
      </c>
      <c r="Y275" s="382">
        <f t="shared" si="157"/>
        <v>0</v>
      </c>
      <c r="Z275" s="343">
        <f t="shared" si="158"/>
        <v>0</v>
      </c>
      <c r="AA275" s="343">
        <f t="shared" si="159"/>
        <v>0</v>
      </c>
      <c r="AB275" s="343">
        <f t="shared" si="160"/>
        <v>0</v>
      </c>
      <c r="AC275" s="383">
        <f t="shared" si="161"/>
        <v>0</v>
      </c>
      <c r="AD275" s="344">
        <f t="shared" si="162"/>
        <v>0</v>
      </c>
      <c r="AE275" s="344">
        <f t="shared" si="163"/>
        <v>0</v>
      </c>
      <c r="AF275" s="344">
        <f t="shared" si="164"/>
        <v>0</v>
      </c>
      <c r="AG275" s="345">
        <f t="shared" si="165"/>
        <v>0</v>
      </c>
      <c r="AH275" s="345">
        <f t="shared" si="166"/>
        <v>0</v>
      </c>
      <c r="AI275" s="345">
        <f t="shared" si="167"/>
        <v>0</v>
      </c>
      <c r="AJ275" s="306">
        <f t="shared" si="168"/>
        <v>0</v>
      </c>
      <c r="AK275" s="306">
        <f t="shared" si="169"/>
        <v>0</v>
      </c>
      <c r="AL275" s="306">
        <f t="shared" si="170"/>
        <v>0</v>
      </c>
      <c r="AM275" s="749"/>
      <c r="AN275" s="763"/>
      <c r="AO275" s="780"/>
      <c r="AP275" s="896"/>
      <c r="AQ275" s="896"/>
      <c r="AR275" s="896"/>
      <c r="AS275" s="780"/>
      <c r="AT275" s="780"/>
      <c r="AU275" s="780"/>
      <c r="AV275" s="780"/>
      <c r="AW275" s="780"/>
      <c r="AX275" s="780"/>
      <c r="AY275" s="780"/>
      <c r="AZ275" s="780"/>
      <c r="BA275" s="780"/>
    </row>
    <row r="276" spans="1:53" x14ac:dyDescent="0.2">
      <c r="A276" s="346"/>
      <c r="B276" s="347"/>
      <c r="C276" s="358"/>
      <c r="D276" s="349"/>
      <c r="E276" s="349"/>
      <c r="F276" s="350"/>
      <c r="G276" s="1211">
        <f t="shared" si="150"/>
        <v>0</v>
      </c>
      <c r="H276" s="339"/>
      <c r="I276" s="339"/>
      <c r="J276" s="339"/>
      <c r="K276" s="339"/>
      <c r="L276" s="339"/>
      <c r="M276" s="339"/>
      <c r="N276" s="339"/>
      <c r="O276" s="339"/>
      <c r="P276" s="339"/>
      <c r="Q276" s="339"/>
      <c r="R276" s="1236">
        <f t="shared" si="151"/>
        <v>0</v>
      </c>
      <c r="S276" s="1237">
        <f t="shared" si="152"/>
        <v>0</v>
      </c>
      <c r="T276" s="341"/>
      <c r="U276" s="381">
        <f t="shared" si="153"/>
        <v>0</v>
      </c>
      <c r="V276" s="342">
        <f t="shared" si="154"/>
        <v>0</v>
      </c>
      <c r="W276" s="342">
        <f t="shared" si="155"/>
        <v>0</v>
      </c>
      <c r="X276" s="342">
        <f t="shared" si="156"/>
        <v>0</v>
      </c>
      <c r="Y276" s="382">
        <f t="shared" si="157"/>
        <v>0</v>
      </c>
      <c r="Z276" s="343">
        <f t="shared" si="158"/>
        <v>0</v>
      </c>
      <c r="AA276" s="343">
        <f t="shared" si="159"/>
        <v>0</v>
      </c>
      <c r="AB276" s="343">
        <f t="shared" si="160"/>
        <v>0</v>
      </c>
      <c r="AC276" s="383">
        <f t="shared" si="161"/>
        <v>0</v>
      </c>
      <c r="AD276" s="344">
        <f t="shared" si="162"/>
        <v>0</v>
      </c>
      <c r="AE276" s="344">
        <f t="shared" si="163"/>
        <v>0</v>
      </c>
      <c r="AF276" s="344">
        <f t="shared" si="164"/>
        <v>0</v>
      </c>
      <c r="AG276" s="345">
        <f t="shared" si="165"/>
        <v>0</v>
      </c>
      <c r="AH276" s="345">
        <f t="shared" si="166"/>
        <v>0</v>
      </c>
      <c r="AI276" s="345">
        <f t="shared" si="167"/>
        <v>0</v>
      </c>
      <c r="AJ276" s="306">
        <f t="shared" si="168"/>
        <v>0</v>
      </c>
      <c r="AK276" s="306">
        <f t="shared" si="169"/>
        <v>0</v>
      </c>
      <c r="AL276" s="306">
        <f t="shared" si="170"/>
        <v>0</v>
      </c>
      <c r="AM276" s="749"/>
      <c r="AN276" s="763"/>
      <c r="AO276" s="780"/>
      <c r="AP276" s="896"/>
      <c r="AQ276" s="896"/>
      <c r="AR276" s="896"/>
      <c r="AS276" s="780"/>
      <c r="AT276" s="780"/>
      <c r="AU276" s="780"/>
      <c r="AV276" s="780"/>
      <c r="AW276" s="780"/>
      <c r="AX276" s="780"/>
      <c r="AY276" s="780"/>
      <c r="AZ276" s="780"/>
      <c r="BA276" s="780"/>
    </row>
    <row r="277" spans="1:53" x14ac:dyDescent="0.2">
      <c r="A277" s="346"/>
      <c r="B277" s="347"/>
      <c r="C277" s="358"/>
      <c r="D277" s="349"/>
      <c r="E277" s="349"/>
      <c r="F277" s="350"/>
      <c r="G277" s="1211">
        <f t="shared" si="150"/>
        <v>0</v>
      </c>
      <c r="H277" s="339"/>
      <c r="I277" s="339"/>
      <c r="J277" s="339"/>
      <c r="K277" s="339"/>
      <c r="L277" s="339"/>
      <c r="M277" s="339"/>
      <c r="N277" s="339"/>
      <c r="O277" s="339"/>
      <c r="P277" s="339"/>
      <c r="Q277" s="339"/>
      <c r="R277" s="1236">
        <f t="shared" si="151"/>
        <v>0</v>
      </c>
      <c r="S277" s="1237">
        <f t="shared" si="152"/>
        <v>0</v>
      </c>
      <c r="T277" s="341"/>
      <c r="U277" s="381">
        <f t="shared" si="153"/>
        <v>0</v>
      </c>
      <c r="V277" s="342">
        <f t="shared" si="154"/>
        <v>0</v>
      </c>
      <c r="W277" s="342">
        <f t="shared" si="155"/>
        <v>0</v>
      </c>
      <c r="X277" s="342">
        <f t="shared" si="156"/>
        <v>0</v>
      </c>
      <c r="Y277" s="382">
        <f t="shared" si="157"/>
        <v>0</v>
      </c>
      <c r="Z277" s="343">
        <f t="shared" si="158"/>
        <v>0</v>
      </c>
      <c r="AA277" s="343">
        <f t="shared" si="159"/>
        <v>0</v>
      </c>
      <c r="AB277" s="343">
        <f t="shared" si="160"/>
        <v>0</v>
      </c>
      <c r="AC277" s="383">
        <f t="shared" si="161"/>
        <v>0</v>
      </c>
      <c r="AD277" s="344">
        <f t="shared" si="162"/>
        <v>0</v>
      </c>
      <c r="AE277" s="344">
        <f t="shared" si="163"/>
        <v>0</v>
      </c>
      <c r="AF277" s="344">
        <f t="shared" si="164"/>
        <v>0</v>
      </c>
      <c r="AG277" s="345">
        <f t="shared" si="165"/>
        <v>0</v>
      </c>
      <c r="AH277" s="345">
        <f t="shared" si="166"/>
        <v>0</v>
      </c>
      <c r="AI277" s="345">
        <f t="shared" si="167"/>
        <v>0</v>
      </c>
      <c r="AJ277" s="306">
        <f t="shared" si="168"/>
        <v>0</v>
      </c>
      <c r="AK277" s="306">
        <f t="shared" si="169"/>
        <v>0</v>
      </c>
      <c r="AL277" s="306">
        <f t="shared" si="170"/>
        <v>0</v>
      </c>
      <c r="AM277" s="749"/>
      <c r="AN277" s="763"/>
      <c r="AO277" s="780"/>
      <c r="AP277" s="896"/>
      <c r="AQ277" s="896"/>
      <c r="AR277" s="896"/>
      <c r="AS277" s="780"/>
      <c r="AT277" s="780"/>
      <c r="AU277" s="780"/>
      <c r="AV277" s="780"/>
      <c r="AW277" s="780"/>
      <c r="AX277" s="780"/>
      <c r="AY277" s="780"/>
      <c r="AZ277" s="780"/>
      <c r="BA277" s="780"/>
    </row>
    <row r="278" spans="1:53" x14ac:dyDescent="0.2">
      <c r="A278" s="346"/>
      <c r="B278" s="347"/>
      <c r="C278" s="358"/>
      <c r="D278" s="349"/>
      <c r="E278" s="349"/>
      <c r="F278" s="350"/>
      <c r="G278" s="1211">
        <f t="shared" si="150"/>
        <v>0</v>
      </c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1236">
        <f t="shared" si="151"/>
        <v>0</v>
      </c>
      <c r="S278" s="1237">
        <f t="shared" si="152"/>
        <v>0</v>
      </c>
      <c r="T278" s="341"/>
      <c r="U278" s="381">
        <f t="shared" si="153"/>
        <v>0</v>
      </c>
      <c r="V278" s="342">
        <f t="shared" si="154"/>
        <v>0</v>
      </c>
      <c r="W278" s="342">
        <f t="shared" si="155"/>
        <v>0</v>
      </c>
      <c r="X278" s="342">
        <f t="shared" si="156"/>
        <v>0</v>
      </c>
      <c r="Y278" s="382">
        <f t="shared" si="157"/>
        <v>0</v>
      </c>
      <c r="Z278" s="343">
        <f t="shared" si="158"/>
        <v>0</v>
      </c>
      <c r="AA278" s="343">
        <f t="shared" si="159"/>
        <v>0</v>
      </c>
      <c r="AB278" s="343">
        <f t="shared" si="160"/>
        <v>0</v>
      </c>
      <c r="AC278" s="383">
        <f t="shared" si="161"/>
        <v>0</v>
      </c>
      <c r="AD278" s="344">
        <f t="shared" si="162"/>
        <v>0</v>
      </c>
      <c r="AE278" s="344">
        <f t="shared" si="163"/>
        <v>0</v>
      </c>
      <c r="AF278" s="344">
        <f t="shared" si="164"/>
        <v>0</v>
      </c>
      <c r="AG278" s="345">
        <f t="shared" si="165"/>
        <v>0</v>
      </c>
      <c r="AH278" s="345">
        <f t="shared" si="166"/>
        <v>0</v>
      </c>
      <c r="AI278" s="345">
        <f t="shared" si="167"/>
        <v>0</v>
      </c>
      <c r="AJ278" s="306">
        <f t="shared" si="168"/>
        <v>0</v>
      </c>
      <c r="AK278" s="306">
        <f t="shared" si="169"/>
        <v>0</v>
      </c>
      <c r="AL278" s="306">
        <f t="shared" si="170"/>
        <v>0</v>
      </c>
      <c r="AM278" s="749"/>
      <c r="AN278" s="763"/>
      <c r="AO278" s="780"/>
      <c r="AP278" s="896"/>
      <c r="AQ278" s="896"/>
      <c r="AR278" s="896"/>
      <c r="AS278" s="780"/>
      <c r="AT278" s="780"/>
      <c r="AU278" s="780"/>
      <c r="AV278" s="780"/>
      <c r="AW278" s="780"/>
      <c r="AX278" s="780"/>
      <c r="AY278" s="780"/>
      <c r="AZ278" s="780"/>
      <c r="BA278" s="780"/>
    </row>
    <row r="279" spans="1:53" x14ac:dyDescent="0.2">
      <c r="A279" s="346"/>
      <c r="B279" s="347"/>
      <c r="C279" s="358"/>
      <c r="D279" s="349"/>
      <c r="E279" s="349"/>
      <c r="F279" s="350"/>
      <c r="G279" s="1211">
        <f t="shared" si="150"/>
        <v>0</v>
      </c>
      <c r="H279" s="339"/>
      <c r="I279" s="339"/>
      <c r="J279" s="339"/>
      <c r="K279" s="339"/>
      <c r="L279" s="339"/>
      <c r="M279" s="339"/>
      <c r="N279" s="339"/>
      <c r="O279" s="339"/>
      <c r="P279" s="339"/>
      <c r="Q279" s="339"/>
      <c r="R279" s="1236">
        <f t="shared" si="151"/>
        <v>0</v>
      </c>
      <c r="S279" s="1237">
        <f t="shared" si="152"/>
        <v>0</v>
      </c>
      <c r="T279" s="341"/>
      <c r="U279" s="381">
        <f t="shared" si="153"/>
        <v>0</v>
      </c>
      <c r="V279" s="342">
        <f t="shared" si="154"/>
        <v>0</v>
      </c>
      <c r="W279" s="342">
        <f t="shared" si="155"/>
        <v>0</v>
      </c>
      <c r="X279" s="342">
        <f t="shared" si="156"/>
        <v>0</v>
      </c>
      <c r="Y279" s="382">
        <f t="shared" si="157"/>
        <v>0</v>
      </c>
      <c r="Z279" s="343">
        <f t="shared" si="158"/>
        <v>0</v>
      </c>
      <c r="AA279" s="343">
        <f t="shared" si="159"/>
        <v>0</v>
      </c>
      <c r="AB279" s="343">
        <f t="shared" si="160"/>
        <v>0</v>
      </c>
      <c r="AC279" s="383">
        <f t="shared" si="161"/>
        <v>0</v>
      </c>
      <c r="AD279" s="344">
        <f t="shared" si="162"/>
        <v>0</v>
      </c>
      <c r="AE279" s="344">
        <f t="shared" si="163"/>
        <v>0</v>
      </c>
      <c r="AF279" s="344">
        <f t="shared" si="164"/>
        <v>0</v>
      </c>
      <c r="AG279" s="345">
        <f t="shared" si="165"/>
        <v>0</v>
      </c>
      <c r="AH279" s="345">
        <f t="shared" si="166"/>
        <v>0</v>
      </c>
      <c r="AI279" s="345">
        <f t="shared" si="167"/>
        <v>0</v>
      </c>
      <c r="AJ279" s="306">
        <f t="shared" si="168"/>
        <v>0</v>
      </c>
      <c r="AK279" s="306">
        <f t="shared" si="169"/>
        <v>0</v>
      </c>
      <c r="AL279" s="306">
        <f t="shared" si="170"/>
        <v>0</v>
      </c>
      <c r="AM279" s="749"/>
      <c r="AN279" s="763"/>
      <c r="AO279" s="780"/>
      <c r="AP279" s="896"/>
      <c r="AQ279" s="896"/>
      <c r="AR279" s="896"/>
      <c r="AS279" s="780"/>
      <c r="AT279" s="780"/>
      <c r="AU279" s="780"/>
      <c r="AV279" s="780"/>
      <c r="AW279" s="780"/>
      <c r="AX279" s="780"/>
      <c r="AY279" s="780"/>
      <c r="AZ279" s="780"/>
      <c r="BA279" s="780"/>
    </row>
    <row r="280" spans="1:53" x14ac:dyDescent="0.2">
      <c r="A280" s="346"/>
      <c r="B280" s="347"/>
      <c r="C280" s="358"/>
      <c r="D280" s="349"/>
      <c r="E280" s="349"/>
      <c r="F280" s="350"/>
      <c r="G280" s="1211">
        <f t="shared" si="150"/>
        <v>0</v>
      </c>
      <c r="H280" s="339"/>
      <c r="I280" s="339"/>
      <c r="J280" s="339"/>
      <c r="K280" s="339"/>
      <c r="L280" s="339"/>
      <c r="M280" s="339"/>
      <c r="N280" s="339"/>
      <c r="O280" s="339"/>
      <c r="P280" s="339"/>
      <c r="Q280" s="339"/>
      <c r="R280" s="1236">
        <f t="shared" si="151"/>
        <v>0</v>
      </c>
      <c r="S280" s="1237">
        <f t="shared" si="152"/>
        <v>0</v>
      </c>
      <c r="T280" s="341"/>
      <c r="U280" s="381">
        <f t="shared" si="153"/>
        <v>0</v>
      </c>
      <c r="V280" s="342">
        <f t="shared" si="154"/>
        <v>0</v>
      </c>
      <c r="W280" s="342">
        <f t="shared" si="155"/>
        <v>0</v>
      </c>
      <c r="X280" s="342">
        <f t="shared" si="156"/>
        <v>0</v>
      </c>
      <c r="Y280" s="382">
        <f t="shared" si="157"/>
        <v>0</v>
      </c>
      <c r="Z280" s="343">
        <f t="shared" si="158"/>
        <v>0</v>
      </c>
      <c r="AA280" s="343">
        <f t="shared" si="159"/>
        <v>0</v>
      </c>
      <c r="AB280" s="343">
        <f t="shared" si="160"/>
        <v>0</v>
      </c>
      <c r="AC280" s="383">
        <f t="shared" si="161"/>
        <v>0</v>
      </c>
      <c r="AD280" s="344">
        <f t="shared" si="162"/>
        <v>0</v>
      </c>
      <c r="AE280" s="344">
        <f t="shared" si="163"/>
        <v>0</v>
      </c>
      <c r="AF280" s="344">
        <f t="shared" si="164"/>
        <v>0</v>
      </c>
      <c r="AG280" s="345">
        <f t="shared" si="165"/>
        <v>0</v>
      </c>
      <c r="AH280" s="345">
        <f t="shared" si="166"/>
        <v>0</v>
      </c>
      <c r="AI280" s="345">
        <f t="shared" si="167"/>
        <v>0</v>
      </c>
      <c r="AJ280" s="306">
        <f t="shared" si="168"/>
        <v>0</v>
      </c>
      <c r="AK280" s="306">
        <f t="shared" si="169"/>
        <v>0</v>
      </c>
      <c r="AL280" s="306">
        <f t="shared" si="170"/>
        <v>0</v>
      </c>
      <c r="AM280" s="749"/>
      <c r="AN280" s="763"/>
      <c r="AO280" s="780"/>
      <c r="AP280" s="896"/>
      <c r="AQ280" s="896"/>
      <c r="AR280" s="896"/>
      <c r="AS280" s="780"/>
      <c r="AT280" s="780"/>
      <c r="AU280" s="780"/>
      <c r="AV280" s="780"/>
      <c r="AW280" s="780"/>
      <c r="AX280" s="780"/>
      <c r="AY280" s="780"/>
      <c r="AZ280" s="780"/>
      <c r="BA280" s="780"/>
    </row>
    <row r="281" spans="1:53" x14ac:dyDescent="0.2">
      <c r="A281" s="346"/>
      <c r="B281" s="347"/>
      <c r="C281" s="358"/>
      <c r="D281" s="349"/>
      <c r="E281" s="349"/>
      <c r="F281" s="350"/>
      <c r="G281" s="1211">
        <f t="shared" si="150"/>
        <v>0</v>
      </c>
      <c r="H281" s="339"/>
      <c r="I281" s="339"/>
      <c r="J281" s="339"/>
      <c r="K281" s="339"/>
      <c r="L281" s="339"/>
      <c r="M281" s="339"/>
      <c r="N281" s="339"/>
      <c r="O281" s="339"/>
      <c r="P281" s="339"/>
      <c r="Q281" s="339"/>
      <c r="R281" s="1236">
        <f t="shared" si="151"/>
        <v>0</v>
      </c>
      <c r="S281" s="1237">
        <f t="shared" si="152"/>
        <v>0</v>
      </c>
      <c r="T281" s="341"/>
      <c r="U281" s="381">
        <f t="shared" si="153"/>
        <v>0</v>
      </c>
      <c r="V281" s="342">
        <f t="shared" si="154"/>
        <v>0</v>
      </c>
      <c r="W281" s="342">
        <f t="shared" si="155"/>
        <v>0</v>
      </c>
      <c r="X281" s="342">
        <f t="shared" si="156"/>
        <v>0</v>
      </c>
      <c r="Y281" s="382">
        <f t="shared" si="157"/>
        <v>0</v>
      </c>
      <c r="Z281" s="343">
        <f t="shared" si="158"/>
        <v>0</v>
      </c>
      <c r="AA281" s="343">
        <f t="shared" si="159"/>
        <v>0</v>
      </c>
      <c r="AB281" s="343">
        <f t="shared" si="160"/>
        <v>0</v>
      </c>
      <c r="AC281" s="383">
        <f t="shared" si="161"/>
        <v>0</v>
      </c>
      <c r="AD281" s="344">
        <f t="shared" si="162"/>
        <v>0</v>
      </c>
      <c r="AE281" s="344">
        <f t="shared" si="163"/>
        <v>0</v>
      </c>
      <c r="AF281" s="344">
        <f t="shared" si="164"/>
        <v>0</v>
      </c>
      <c r="AG281" s="345">
        <f t="shared" si="165"/>
        <v>0</v>
      </c>
      <c r="AH281" s="345">
        <f t="shared" si="166"/>
        <v>0</v>
      </c>
      <c r="AI281" s="345">
        <f t="shared" si="167"/>
        <v>0</v>
      </c>
      <c r="AJ281" s="306">
        <f t="shared" si="168"/>
        <v>0</v>
      </c>
      <c r="AK281" s="306">
        <f t="shared" si="169"/>
        <v>0</v>
      </c>
      <c r="AL281" s="306">
        <f t="shared" si="170"/>
        <v>0</v>
      </c>
      <c r="AM281" s="749"/>
      <c r="AN281" s="763"/>
      <c r="AO281" s="780"/>
      <c r="AP281" s="896"/>
      <c r="AQ281" s="896"/>
      <c r="AR281" s="896"/>
      <c r="AS281" s="780"/>
      <c r="AT281" s="780"/>
      <c r="AU281" s="780"/>
      <c r="AV281" s="780"/>
      <c r="AW281" s="780"/>
      <c r="AX281" s="780"/>
      <c r="AY281" s="780"/>
      <c r="AZ281" s="780"/>
      <c r="BA281" s="780"/>
    </row>
    <row r="282" spans="1:53" x14ac:dyDescent="0.2">
      <c r="A282" s="346"/>
      <c r="B282" s="347"/>
      <c r="C282" s="358"/>
      <c r="D282" s="349"/>
      <c r="E282" s="349"/>
      <c r="F282" s="350"/>
      <c r="G282" s="1211">
        <f t="shared" si="150"/>
        <v>0</v>
      </c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1236">
        <f t="shared" si="151"/>
        <v>0</v>
      </c>
      <c r="S282" s="1237">
        <f t="shared" si="152"/>
        <v>0</v>
      </c>
      <c r="T282" s="341"/>
      <c r="U282" s="381">
        <f t="shared" si="153"/>
        <v>0</v>
      </c>
      <c r="V282" s="342">
        <f t="shared" si="154"/>
        <v>0</v>
      </c>
      <c r="W282" s="342">
        <f t="shared" si="155"/>
        <v>0</v>
      </c>
      <c r="X282" s="342">
        <f t="shared" si="156"/>
        <v>0</v>
      </c>
      <c r="Y282" s="382">
        <f t="shared" si="157"/>
        <v>0</v>
      </c>
      <c r="Z282" s="343">
        <f t="shared" si="158"/>
        <v>0</v>
      </c>
      <c r="AA282" s="343">
        <f t="shared" si="159"/>
        <v>0</v>
      </c>
      <c r="AB282" s="343">
        <f t="shared" si="160"/>
        <v>0</v>
      </c>
      <c r="AC282" s="383">
        <f t="shared" si="161"/>
        <v>0</v>
      </c>
      <c r="AD282" s="344">
        <f t="shared" si="162"/>
        <v>0</v>
      </c>
      <c r="AE282" s="344">
        <f t="shared" si="163"/>
        <v>0</v>
      </c>
      <c r="AF282" s="344">
        <f t="shared" si="164"/>
        <v>0</v>
      </c>
      <c r="AG282" s="345">
        <f t="shared" si="165"/>
        <v>0</v>
      </c>
      <c r="AH282" s="345">
        <f t="shared" si="166"/>
        <v>0</v>
      </c>
      <c r="AI282" s="345">
        <f t="shared" si="167"/>
        <v>0</v>
      </c>
      <c r="AJ282" s="306">
        <f t="shared" si="168"/>
        <v>0</v>
      </c>
      <c r="AK282" s="306">
        <f t="shared" si="169"/>
        <v>0</v>
      </c>
      <c r="AL282" s="306">
        <f t="shared" si="170"/>
        <v>0</v>
      </c>
      <c r="AM282" s="749"/>
      <c r="AN282" s="763"/>
      <c r="AO282" s="780"/>
      <c r="AP282" s="896"/>
      <c r="AQ282" s="896"/>
      <c r="AR282" s="896"/>
      <c r="AS282" s="780"/>
      <c r="AT282" s="780"/>
      <c r="AU282" s="780"/>
      <c r="AV282" s="780"/>
      <c r="AW282" s="780"/>
      <c r="AX282" s="780"/>
      <c r="AY282" s="780"/>
      <c r="AZ282" s="780"/>
      <c r="BA282" s="780"/>
    </row>
    <row r="283" spans="1:53" x14ac:dyDescent="0.2">
      <c r="A283" s="346"/>
      <c r="B283" s="347"/>
      <c r="C283" s="358"/>
      <c r="D283" s="349"/>
      <c r="E283" s="349"/>
      <c r="F283" s="350"/>
      <c r="G283" s="1211">
        <f t="shared" si="150"/>
        <v>0</v>
      </c>
      <c r="H283" s="339"/>
      <c r="I283" s="339"/>
      <c r="J283" s="339"/>
      <c r="K283" s="339"/>
      <c r="L283" s="339"/>
      <c r="M283" s="339"/>
      <c r="N283" s="339"/>
      <c r="O283" s="339"/>
      <c r="P283" s="339"/>
      <c r="Q283" s="339"/>
      <c r="R283" s="1236">
        <f t="shared" si="151"/>
        <v>0</v>
      </c>
      <c r="S283" s="1237">
        <f t="shared" si="152"/>
        <v>0</v>
      </c>
      <c r="T283" s="341"/>
      <c r="U283" s="381">
        <f t="shared" si="153"/>
        <v>0</v>
      </c>
      <c r="V283" s="342">
        <f t="shared" si="154"/>
        <v>0</v>
      </c>
      <c r="W283" s="342">
        <f t="shared" si="155"/>
        <v>0</v>
      </c>
      <c r="X283" s="342">
        <f t="shared" si="156"/>
        <v>0</v>
      </c>
      <c r="Y283" s="382">
        <f t="shared" si="157"/>
        <v>0</v>
      </c>
      <c r="Z283" s="343">
        <f t="shared" si="158"/>
        <v>0</v>
      </c>
      <c r="AA283" s="343">
        <f t="shared" si="159"/>
        <v>0</v>
      </c>
      <c r="AB283" s="343">
        <f t="shared" si="160"/>
        <v>0</v>
      </c>
      <c r="AC283" s="383">
        <f t="shared" si="161"/>
        <v>0</v>
      </c>
      <c r="AD283" s="344">
        <f t="shared" si="162"/>
        <v>0</v>
      </c>
      <c r="AE283" s="344">
        <f t="shared" si="163"/>
        <v>0</v>
      </c>
      <c r="AF283" s="344">
        <f t="shared" si="164"/>
        <v>0</v>
      </c>
      <c r="AG283" s="345">
        <f t="shared" si="165"/>
        <v>0</v>
      </c>
      <c r="AH283" s="345">
        <f t="shared" si="166"/>
        <v>0</v>
      </c>
      <c r="AI283" s="345">
        <f t="shared" si="167"/>
        <v>0</v>
      </c>
      <c r="AJ283" s="306">
        <f t="shared" si="168"/>
        <v>0</v>
      </c>
      <c r="AK283" s="306">
        <f t="shared" si="169"/>
        <v>0</v>
      </c>
      <c r="AL283" s="306">
        <f t="shared" si="170"/>
        <v>0</v>
      </c>
      <c r="AM283" s="749"/>
      <c r="AN283" s="763"/>
      <c r="AO283" s="780"/>
      <c r="AP283" s="896"/>
      <c r="AQ283" s="896"/>
      <c r="AR283" s="896"/>
      <c r="AS283" s="780"/>
      <c r="AT283" s="780"/>
      <c r="AU283" s="780"/>
      <c r="AV283" s="780"/>
      <c r="AW283" s="780"/>
      <c r="AX283" s="780"/>
      <c r="AY283" s="780"/>
      <c r="AZ283" s="780"/>
      <c r="BA283" s="780"/>
    </row>
    <row r="284" spans="1:53" x14ac:dyDescent="0.2">
      <c r="A284" s="346"/>
      <c r="B284" s="347"/>
      <c r="C284" s="358"/>
      <c r="D284" s="349"/>
      <c r="E284" s="349"/>
      <c r="F284" s="350"/>
      <c r="G284" s="1211">
        <f t="shared" si="150"/>
        <v>0</v>
      </c>
      <c r="H284" s="339"/>
      <c r="I284" s="339"/>
      <c r="J284" s="339"/>
      <c r="K284" s="339"/>
      <c r="L284" s="339"/>
      <c r="M284" s="339"/>
      <c r="N284" s="339"/>
      <c r="O284" s="339"/>
      <c r="P284" s="339"/>
      <c r="Q284" s="339"/>
      <c r="R284" s="1236">
        <f t="shared" si="151"/>
        <v>0</v>
      </c>
      <c r="S284" s="1237">
        <f t="shared" si="152"/>
        <v>0</v>
      </c>
      <c r="T284" s="341"/>
      <c r="U284" s="381">
        <f t="shared" si="153"/>
        <v>0</v>
      </c>
      <c r="V284" s="342">
        <f t="shared" si="154"/>
        <v>0</v>
      </c>
      <c r="W284" s="342">
        <f t="shared" si="155"/>
        <v>0</v>
      </c>
      <c r="X284" s="342">
        <f t="shared" si="156"/>
        <v>0</v>
      </c>
      <c r="Y284" s="382">
        <f t="shared" si="157"/>
        <v>0</v>
      </c>
      <c r="Z284" s="343">
        <f t="shared" si="158"/>
        <v>0</v>
      </c>
      <c r="AA284" s="343">
        <f t="shared" si="159"/>
        <v>0</v>
      </c>
      <c r="AB284" s="343">
        <f t="shared" si="160"/>
        <v>0</v>
      </c>
      <c r="AC284" s="383">
        <f t="shared" si="161"/>
        <v>0</v>
      </c>
      <c r="AD284" s="344">
        <f t="shared" si="162"/>
        <v>0</v>
      </c>
      <c r="AE284" s="344">
        <f t="shared" si="163"/>
        <v>0</v>
      </c>
      <c r="AF284" s="344">
        <f t="shared" si="164"/>
        <v>0</v>
      </c>
      <c r="AG284" s="345">
        <f t="shared" si="165"/>
        <v>0</v>
      </c>
      <c r="AH284" s="345">
        <f t="shared" si="166"/>
        <v>0</v>
      </c>
      <c r="AI284" s="345">
        <f t="shared" si="167"/>
        <v>0</v>
      </c>
      <c r="AJ284" s="306">
        <f t="shared" si="168"/>
        <v>0</v>
      </c>
      <c r="AK284" s="306">
        <f t="shared" si="169"/>
        <v>0</v>
      </c>
      <c r="AL284" s="306">
        <f t="shared" si="170"/>
        <v>0</v>
      </c>
      <c r="AM284" s="749"/>
      <c r="AN284" s="763"/>
      <c r="AO284" s="780"/>
      <c r="AP284" s="896"/>
      <c r="AQ284" s="896"/>
      <c r="AR284" s="896"/>
      <c r="AS284" s="780"/>
      <c r="AT284" s="780"/>
      <c r="AU284" s="780"/>
      <c r="AV284" s="780"/>
      <c r="AW284" s="780"/>
      <c r="AX284" s="780"/>
      <c r="AY284" s="780"/>
      <c r="AZ284" s="780"/>
      <c r="BA284" s="780"/>
    </row>
    <row r="285" spans="1:53" x14ac:dyDescent="0.2">
      <c r="A285" s="346"/>
      <c r="B285" s="347"/>
      <c r="C285" s="358"/>
      <c r="D285" s="349"/>
      <c r="E285" s="349"/>
      <c r="F285" s="350"/>
      <c r="G285" s="1211">
        <f t="shared" si="150"/>
        <v>0</v>
      </c>
      <c r="H285" s="339"/>
      <c r="I285" s="339"/>
      <c r="J285" s="339"/>
      <c r="K285" s="339"/>
      <c r="L285" s="339"/>
      <c r="M285" s="339"/>
      <c r="N285" s="339"/>
      <c r="O285" s="339"/>
      <c r="P285" s="339"/>
      <c r="Q285" s="339"/>
      <c r="R285" s="1236">
        <f t="shared" si="151"/>
        <v>0</v>
      </c>
      <c r="S285" s="1237">
        <f t="shared" si="152"/>
        <v>0</v>
      </c>
      <c r="T285" s="341"/>
      <c r="U285" s="381">
        <f t="shared" si="153"/>
        <v>0</v>
      </c>
      <c r="V285" s="342">
        <f t="shared" si="154"/>
        <v>0</v>
      </c>
      <c r="W285" s="342">
        <f t="shared" si="155"/>
        <v>0</v>
      </c>
      <c r="X285" s="342">
        <f t="shared" si="156"/>
        <v>0</v>
      </c>
      <c r="Y285" s="382">
        <f t="shared" si="157"/>
        <v>0</v>
      </c>
      <c r="Z285" s="343">
        <f t="shared" si="158"/>
        <v>0</v>
      </c>
      <c r="AA285" s="343">
        <f t="shared" si="159"/>
        <v>0</v>
      </c>
      <c r="AB285" s="343">
        <f t="shared" si="160"/>
        <v>0</v>
      </c>
      <c r="AC285" s="383">
        <f t="shared" si="161"/>
        <v>0</v>
      </c>
      <c r="AD285" s="344">
        <f t="shared" si="162"/>
        <v>0</v>
      </c>
      <c r="AE285" s="344">
        <f t="shared" si="163"/>
        <v>0</v>
      </c>
      <c r="AF285" s="344">
        <f t="shared" si="164"/>
        <v>0</v>
      </c>
      <c r="AG285" s="345">
        <f t="shared" si="165"/>
        <v>0</v>
      </c>
      <c r="AH285" s="345">
        <f t="shared" si="166"/>
        <v>0</v>
      </c>
      <c r="AI285" s="345">
        <f t="shared" si="167"/>
        <v>0</v>
      </c>
      <c r="AJ285" s="306">
        <f t="shared" si="168"/>
        <v>0</v>
      </c>
      <c r="AK285" s="306">
        <f t="shared" si="169"/>
        <v>0</v>
      </c>
      <c r="AL285" s="306">
        <f t="shared" si="170"/>
        <v>0</v>
      </c>
      <c r="AM285" s="749"/>
      <c r="AN285" s="763"/>
      <c r="AO285" s="780"/>
      <c r="AP285" s="896"/>
      <c r="AQ285" s="896"/>
      <c r="AR285" s="896"/>
      <c r="AS285" s="780"/>
      <c r="AT285" s="780"/>
      <c r="AU285" s="780"/>
      <c r="AV285" s="780"/>
      <c r="AW285" s="780"/>
      <c r="AX285" s="780"/>
      <c r="AY285" s="780"/>
      <c r="AZ285" s="780"/>
      <c r="BA285" s="780"/>
    </row>
    <row r="286" spans="1:53" x14ac:dyDescent="0.2">
      <c r="A286" s="346"/>
      <c r="B286" s="347"/>
      <c r="C286" s="358"/>
      <c r="D286" s="349"/>
      <c r="E286" s="349"/>
      <c r="F286" s="350"/>
      <c r="G286" s="1211">
        <f t="shared" si="150"/>
        <v>0</v>
      </c>
      <c r="H286" s="339"/>
      <c r="I286" s="339"/>
      <c r="J286" s="339"/>
      <c r="K286" s="339"/>
      <c r="L286" s="339"/>
      <c r="M286" s="339"/>
      <c r="N286" s="339"/>
      <c r="O286" s="339"/>
      <c r="P286" s="339"/>
      <c r="Q286" s="339"/>
      <c r="R286" s="1236">
        <f t="shared" si="151"/>
        <v>0</v>
      </c>
      <c r="S286" s="1237">
        <f t="shared" si="152"/>
        <v>0</v>
      </c>
      <c r="T286" s="341"/>
      <c r="U286" s="381">
        <f t="shared" si="153"/>
        <v>0</v>
      </c>
      <c r="V286" s="342">
        <f t="shared" si="154"/>
        <v>0</v>
      </c>
      <c r="W286" s="342">
        <f t="shared" si="155"/>
        <v>0</v>
      </c>
      <c r="X286" s="342">
        <f t="shared" si="156"/>
        <v>0</v>
      </c>
      <c r="Y286" s="382">
        <f t="shared" si="157"/>
        <v>0</v>
      </c>
      <c r="Z286" s="343">
        <f t="shared" si="158"/>
        <v>0</v>
      </c>
      <c r="AA286" s="343">
        <f t="shared" si="159"/>
        <v>0</v>
      </c>
      <c r="AB286" s="343">
        <f t="shared" si="160"/>
        <v>0</v>
      </c>
      <c r="AC286" s="383">
        <f t="shared" si="161"/>
        <v>0</v>
      </c>
      <c r="AD286" s="344">
        <f t="shared" si="162"/>
        <v>0</v>
      </c>
      <c r="AE286" s="344">
        <f t="shared" si="163"/>
        <v>0</v>
      </c>
      <c r="AF286" s="344">
        <f t="shared" si="164"/>
        <v>0</v>
      </c>
      <c r="AG286" s="345">
        <f t="shared" si="165"/>
        <v>0</v>
      </c>
      <c r="AH286" s="345">
        <f t="shared" si="166"/>
        <v>0</v>
      </c>
      <c r="AI286" s="345">
        <f t="shared" si="167"/>
        <v>0</v>
      </c>
      <c r="AJ286" s="306">
        <f t="shared" si="168"/>
        <v>0</v>
      </c>
      <c r="AK286" s="306">
        <f t="shared" si="169"/>
        <v>0</v>
      </c>
      <c r="AL286" s="306">
        <f t="shared" si="170"/>
        <v>0</v>
      </c>
      <c r="AM286" s="749"/>
      <c r="AN286" s="763"/>
      <c r="AO286" s="780"/>
      <c r="AP286" s="896"/>
      <c r="AQ286" s="896"/>
      <c r="AR286" s="896"/>
      <c r="AS286" s="780"/>
      <c r="AT286" s="780"/>
      <c r="AU286" s="780"/>
      <c r="AV286" s="780"/>
      <c r="AW286" s="780"/>
      <c r="AX286" s="780"/>
      <c r="AY286" s="780"/>
      <c r="AZ286" s="780"/>
      <c r="BA286" s="780"/>
    </row>
    <row r="287" spans="1:53" x14ac:dyDescent="0.2">
      <c r="A287" s="346"/>
      <c r="B287" s="347"/>
      <c r="C287" s="358"/>
      <c r="D287" s="349"/>
      <c r="E287" s="349"/>
      <c r="F287" s="350"/>
      <c r="G287" s="1211">
        <f t="shared" si="150"/>
        <v>0</v>
      </c>
      <c r="H287" s="339"/>
      <c r="I287" s="339"/>
      <c r="J287" s="339"/>
      <c r="K287" s="339"/>
      <c r="L287" s="339"/>
      <c r="M287" s="339"/>
      <c r="N287" s="339"/>
      <c r="O287" s="339"/>
      <c r="P287" s="339"/>
      <c r="Q287" s="339"/>
      <c r="R287" s="1236">
        <f t="shared" si="151"/>
        <v>0</v>
      </c>
      <c r="S287" s="1237">
        <f t="shared" si="152"/>
        <v>0</v>
      </c>
      <c r="T287" s="341"/>
      <c r="U287" s="381">
        <f t="shared" si="153"/>
        <v>0</v>
      </c>
      <c r="V287" s="342">
        <f t="shared" si="154"/>
        <v>0</v>
      </c>
      <c r="W287" s="342">
        <f t="shared" si="155"/>
        <v>0</v>
      </c>
      <c r="X287" s="342">
        <f t="shared" si="156"/>
        <v>0</v>
      </c>
      <c r="Y287" s="382">
        <f t="shared" si="157"/>
        <v>0</v>
      </c>
      <c r="Z287" s="343">
        <f t="shared" si="158"/>
        <v>0</v>
      </c>
      <c r="AA287" s="343">
        <f t="shared" si="159"/>
        <v>0</v>
      </c>
      <c r="AB287" s="343">
        <f t="shared" si="160"/>
        <v>0</v>
      </c>
      <c r="AC287" s="383">
        <f t="shared" si="161"/>
        <v>0</v>
      </c>
      <c r="AD287" s="344">
        <f t="shared" si="162"/>
        <v>0</v>
      </c>
      <c r="AE287" s="344">
        <f t="shared" si="163"/>
        <v>0</v>
      </c>
      <c r="AF287" s="344">
        <f t="shared" si="164"/>
        <v>0</v>
      </c>
      <c r="AG287" s="345">
        <f t="shared" si="165"/>
        <v>0</v>
      </c>
      <c r="AH287" s="345">
        <f t="shared" si="166"/>
        <v>0</v>
      </c>
      <c r="AI287" s="345">
        <f t="shared" si="167"/>
        <v>0</v>
      </c>
      <c r="AJ287" s="306">
        <f t="shared" si="168"/>
        <v>0</v>
      </c>
      <c r="AK287" s="306">
        <f t="shared" si="169"/>
        <v>0</v>
      </c>
      <c r="AL287" s="306">
        <f t="shared" si="170"/>
        <v>0</v>
      </c>
      <c r="AM287" s="749"/>
      <c r="AN287" s="763"/>
      <c r="AO287" s="780"/>
      <c r="AP287" s="896"/>
      <c r="AQ287" s="896"/>
      <c r="AR287" s="896"/>
      <c r="AS287" s="780"/>
      <c r="AT287" s="780"/>
      <c r="AU287" s="780"/>
      <c r="AV287" s="780"/>
      <c r="AW287" s="780"/>
      <c r="AX287" s="780"/>
      <c r="AY287" s="780"/>
      <c r="AZ287" s="780"/>
      <c r="BA287" s="780"/>
    </row>
    <row r="288" spans="1:53" x14ac:dyDescent="0.2">
      <c r="A288" s="346"/>
      <c r="B288" s="347"/>
      <c r="C288" s="358"/>
      <c r="D288" s="349"/>
      <c r="E288" s="349"/>
      <c r="F288" s="350"/>
      <c r="G288" s="1211">
        <f t="shared" si="150"/>
        <v>0</v>
      </c>
      <c r="H288" s="339"/>
      <c r="I288" s="339"/>
      <c r="J288" s="339"/>
      <c r="K288" s="339"/>
      <c r="L288" s="339"/>
      <c r="M288" s="339"/>
      <c r="N288" s="339"/>
      <c r="O288" s="339"/>
      <c r="P288" s="339"/>
      <c r="Q288" s="339"/>
      <c r="R288" s="1236">
        <f t="shared" si="151"/>
        <v>0</v>
      </c>
      <c r="S288" s="1237">
        <f t="shared" si="152"/>
        <v>0</v>
      </c>
      <c r="T288" s="341"/>
      <c r="U288" s="381">
        <f t="shared" si="153"/>
        <v>0</v>
      </c>
      <c r="V288" s="342">
        <f t="shared" si="154"/>
        <v>0</v>
      </c>
      <c r="W288" s="342">
        <f t="shared" si="155"/>
        <v>0</v>
      </c>
      <c r="X288" s="342">
        <f t="shared" si="156"/>
        <v>0</v>
      </c>
      <c r="Y288" s="382">
        <f t="shared" si="157"/>
        <v>0</v>
      </c>
      <c r="Z288" s="343">
        <f t="shared" si="158"/>
        <v>0</v>
      </c>
      <c r="AA288" s="343">
        <f t="shared" si="159"/>
        <v>0</v>
      </c>
      <c r="AB288" s="343">
        <f t="shared" si="160"/>
        <v>0</v>
      </c>
      <c r="AC288" s="383">
        <f t="shared" si="161"/>
        <v>0</v>
      </c>
      <c r="AD288" s="344">
        <f t="shared" si="162"/>
        <v>0</v>
      </c>
      <c r="AE288" s="344">
        <f t="shared" si="163"/>
        <v>0</v>
      </c>
      <c r="AF288" s="344">
        <f t="shared" si="164"/>
        <v>0</v>
      </c>
      <c r="AG288" s="345">
        <f t="shared" si="165"/>
        <v>0</v>
      </c>
      <c r="AH288" s="345">
        <f t="shared" si="166"/>
        <v>0</v>
      </c>
      <c r="AI288" s="345">
        <f t="shared" si="167"/>
        <v>0</v>
      </c>
      <c r="AJ288" s="306">
        <f t="shared" si="168"/>
        <v>0</v>
      </c>
      <c r="AK288" s="306">
        <f t="shared" si="169"/>
        <v>0</v>
      </c>
      <c r="AL288" s="306">
        <f t="shared" si="170"/>
        <v>0</v>
      </c>
      <c r="AM288" s="749"/>
      <c r="AN288" s="763"/>
      <c r="AO288" s="780"/>
      <c r="AP288" s="896"/>
      <c r="AQ288" s="896"/>
      <c r="AR288" s="896"/>
      <c r="AS288" s="780"/>
      <c r="AT288" s="780"/>
      <c r="AU288" s="780"/>
      <c r="AV288" s="780"/>
      <c r="AW288" s="780"/>
      <c r="AX288" s="780"/>
      <c r="AY288" s="780"/>
      <c r="AZ288" s="780"/>
      <c r="BA288" s="780"/>
    </row>
    <row r="289" spans="1:59" x14ac:dyDescent="0.2">
      <c r="A289" s="346"/>
      <c r="B289" s="347"/>
      <c r="C289" s="358"/>
      <c r="D289" s="349"/>
      <c r="E289" s="349"/>
      <c r="F289" s="350"/>
      <c r="G289" s="1211">
        <f t="shared" si="150"/>
        <v>0</v>
      </c>
      <c r="H289" s="339"/>
      <c r="I289" s="339"/>
      <c r="J289" s="339"/>
      <c r="K289" s="339"/>
      <c r="L289" s="339"/>
      <c r="M289" s="339"/>
      <c r="N289" s="339"/>
      <c r="O289" s="339"/>
      <c r="P289" s="339"/>
      <c r="Q289" s="339"/>
      <c r="R289" s="1236">
        <f t="shared" si="151"/>
        <v>0</v>
      </c>
      <c r="S289" s="1237">
        <f t="shared" si="152"/>
        <v>0</v>
      </c>
      <c r="T289" s="341"/>
      <c r="U289" s="381">
        <f t="shared" si="153"/>
        <v>0</v>
      </c>
      <c r="V289" s="342">
        <f t="shared" si="154"/>
        <v>0</v>
      </c>
      <c r="W289" s="342">
        <f t="shared" si="155"/>
        <v>0</v>
      </c>
      <c r="X289" s="342">
        <f t="shared" si="156"/>
        <v>0</v>
      </c>
      <c r="Y289" s="382">
        <f t="shared" si="157"/>
        <v>0</v>
      </c>
      <c r="Z289" s="343">
        <f t="shared" si="158"/>
        <v>0</v>
      </c>
      <c r="AA289" s="343">
        <f t="shared" si="159"/>
        <v>0</v>
      </c>
      <c r="AB289" s="343">
        <f t="shared" si="160"/>
        <v>0</v>
      </c>
      <c r="AC289" s="383">
        <f t="shared" si="161"/>
        <v>0</v>
      </c>
      <c r="AD289" s="344">
        <f t="shared" si="162"/>
        <v>0</v>
      </c>
      <c r="AE289" s="344">
        <f t="shared" si="163"/>
        <v>0</v>
      </c>
      <c r="AF289" s="344">
        <f t="shared" si="164"/>
        <v>0</v>
      </c>
      <c r="AG289" s="345">
        <f t="shared" si="165"/>
        <v>0</v>
      </c>
      <c r="AH289" s="345">
        <f t="shared" si="166"/>
        <v>0</v>
      </c>
      <c r="AI289" s="345">
        <f t="shared" si="167"/>
        <v>0</v>
      </c>
      <c r="AJ289" s="306">
        <f t="shared" si="168"/>
        <v>0</v>
      </c>
      <c r="AK289" s="306">
        <f t="shared" si="169"/>
        <v>0</v>
      </c>
      <c r="AL289" s="306">
        <f t="shared" si="170"/>
        <v>0</v>
      </c>
      <c r="AM289" s="749"/>
      <c r="AN289" s="763"/>
      <c r="AO289" s="780"/>
      <c r="AP289" s="896"/>
      <c r="AQ289" s="896"/>
      <c r="AR289" s="896"/>
      <c r="AS289" s="780"/>
      <c r="AT289" s="780"/>
      <c r="AU289" s="780"/>
      <c r="AV289" s="780"/>
      <c r="AW289" s="780"/>
      <c r="AX289" s="780"/>
      <c r="AY289" s="780"/>
      <c r="AZ289" s="780"/>
      <c r="BA289" s="780"/>
    </row>
    <row r="290" spans="1:59" x14ac:dyDescent="0.2">
      <c r="A290" s="346"/>
      <c r="B290" s="347"/>
      <c r="C290" s="358"/>
      <c r="D290" s="349"/>
      <c r="E290" s="349"/>
      <c r="F290" s="350"/>
      <c r="G290" s="1211">
        <f t="shared" si="150"/>
        <v>0</v>
      </c>
      <c r="H290" s="339"/>
      <c r="I290" s="339"/>
      <c r="J290" s="339"/>
      <c r="K290" s="339"/>
      <c r="L290" s="339"/>
      <c r="M290" s="339"/>
      <c r="N290" s="339"/>
      <c r="O290" s="339"/>
      <c r="P290" s="339"/>
      <c r="Q290" s="339"/>
      <c r="R290" s="1236">
        <f t="shared" si="151"/>
        <v>0</v>
      </c>
      <c r="S290" s="1237">
        <f t="shared" si="152"/>
        <v>0</v>
      </c>
      <c r="T290" s="341"/>
      <c r="U290" s="381">
        <f t="shared" si="153"/>
        <v>0</v>
      </c>
      <c r="V290" s="342">
        <f t="shared" si="154"/>
        <v>0</v>
      </c>
      <c r="W290" s="342">
        <f t="shared" si="155"/>
        <v>0</v>
      </c>
      <c r="X290" s="342">
        <f t="shared" si="156"/>
        <v>0</v>
      </c>
      <c r="Y290" s="382">
        <f t="shared" si="157"/>
        <v>0</v>
      </c>
      <c r="Z290" s="343">
        <f t="shared" si="158"/>
        <v>0</v>
      </c>
      <c r="AA290" s="343">
        <f t="shared" si="159"/>
        <v>0</v>
      </c>
      <c r="AB290" s="343">
        <f t="shared" si="160"/>
        <v>0</v>
      </c>
      <c r="AC290" s="383">
        <f t="shared" si="161"/>
        <v>0</v>
      </c>
      <c r="AD290" s="344">
        <f t="shared" si="162"/>
        <v>0</v>
      </c>
      <c r="AE290" s="344">
        <f t="shared" si="163"/>
        <v>0</v>
      </c>
      <c r="AF290" s="344">
        <f t="shared" si="164"/>
        <v>0</v>
      </c>
      <c r="AG290" s="345">
        <f t="shared" si="165"/>
        <v>0</v>
      </c>
      <c r="AH290" s="345">
        <f t="shared" si="166"/>
        <v>0</v>
      </c>
      <c r="AI290" s="345">
        <f t="shared" si="167"/>
        <v>0</v>
      </c>
      <c r="AJ290" s="306">
        <f t="shared" si="168"/>
        <v>0</v>
      </c>
      <c r="AK290" s="306">
        <f t="shared" si="169"/>
        <v>0</v>
      </c>
      <c r="AL290" s="306">
        <f t="shared" si="170"/>
        <v>0</v>
      </c>
      <c r="AM290" s="749"/>
      <c r="AN290" s="763"/>
      <c r="AO290" s="780"/>
      <c r="AP290" s="896"/>
      <c r="AQ290" s="896"/>
      <c r="AR290" s="896"/>
      <c r="AS290" s="780"/>
      <c r="AT290" s="780"/>
      <c r="AU290" s="780"/>
      <c r="AV290" s="780"/>
      <c r="AW290" s="780"/>
      <c r="AX290" s="780"/>
      <c r="AY290" s="780"/>
      <c r="AZ290" s="780"/>
      <c r="BA290" s="780"/>
    </row>
    <row r="291" spans="1:59" x14ac:dyDescent="0.2">
      <c r="A291" s="346"/>
      <c r="B291" s="347"/>
      <c r="C291" s="358"/>
      <c r="D291" s="349"/>
      <c r="E291" s="349"/>
      <c r="F291" s="350"/>
      <c r="G291" s="1211">
        <f t="shared" si="150"/>
        <v>0</v>
      </c>
      <c r="H291" s="339"/>
      <c r="I291" s="339"/>
      <c r="J291" s="339"/>
      <c r="K291" s="339"/>
      <c r="L291" s="339"/>
      <c r="M291" s="339"/>
      <c r="N291" s="339"/>
      <c r="O291" s="339"/>
      <c r="P291" s="339"/>
      <c r="Q291" s="339"/>
      <c r="R291" s="1236">
        <f t="shared" si="151"/>
        <v>0</v>
      </c>
      <c r="S291" s="1237">
        <f t="shared" si="152"/>
        <v>0</v>
      </c>
      <c r="T291" s="341"/>
      <c r="U291" s="381">
        <f t="shared" si="153"/>
        <v>0</v>
      </c>
      <c r="V291" s="342">
        <f t="shared" si="154"/>
        <v>0</v>
      </c>
      <c r="W291" s="342">
        <f t="shared" si="155"/>
        <v>0</v>
      </c>
      <c r="X291" s="342">
        <f t="shared" si="156"/>
        <v>0</v>
      </c>
      <c r="Y291" s="382">
        <f t="shared" si="157"/>
        <v>0</v>
      </c>
      <c r="Z291" s="343">
        <f t="shared" si="158"/>
        <v>0</v>
      </c>
      <c r="AA291" s="343">
        <f t="shared" si="159"/>
        <v>0</v>
      </c>
      <c r="AB291" s="343">
        <f t="shared" si="160"/>
        <v>0</v>
      </c>
      <c r="AC291" s="383">
        <f t="shared" si="161"/>
        <v>0</v>
      </c>
      <c r="AD291" s="344">
        <f t="shared" si="162"/>
        <v>0</v>
      </c>
      <c r="AE291" s="344">
        <f t="shared" si="163"/>
        <v>0</v>
      </c>
      <c r="AF291" s="344">
        <f t="shared" si="164"/>
        <v>0</v>
      </c>
      <c r="AG291" s="345">
        <f t="shared" si="165"/>
        <v>0</v>
      </c>
      <c r="AH291" s="345">
        <f t="shared" si="166"/>
        <v>0</v>
      </c>
      <c r="AI291" s="345">
        <f t="shared" si="167"/>
        <v>0</v>
      </c>
      <c r="AJ291" s="306">
        <f t="shared" si="168"/>
        <v>0</v>
      </c>
      <c r="AK291" s="306">
        <f t="shared" si="169"/>
        <v>0</v>
      </c>
      <c r="AL291" s="306">
        <f t="shared" si="170"/>
        <v>0</v>
      </c>
      <c r="AM291" s="749"/>
      <c r="AN291" s="763"/>
      <c r="AO291" s="780"/>
      <c r="AP291" s="896"/>
      <c r="AQ291" s="896"/>
      <c r="AR291" s="896"/>
      <c r="AS291" s="780"/>
      <c r="AT291" s="780"/>
      <c r="AU291" s="780"/>
      <c r="AV291" s="780"/>
      <c r="AW291" s="780"/>
      <c r="AX291" s="780"/>
      <c r="AY291" s="780"/>
      <c r="AZ291" s="780"/>
      <c r="BA291" s="780"/>
    </row>
    <row r="292" spans="1:59" x14ac:dyDescent="0.2">
      <c r="A292" s="346"/>
      <c r="B292" s="347"/>
      <c r="C292" s="358"/>
      <c r="D292" s="349"/>
      <c r="E292" s="349"/>
      <c r="F292" s="350"/>
      <c r="G292" s="1211">
        <f t="shared" si="150"/>
        <v>0</v>
      </c>
      <c r="H292" s="339"/>
      <c r="I292" s="339"/>
      <c r="J292" s="339"/>
      <c r="K292" s="339"/>
      <c r="L292" s="339"/>
      <c r="M292" s="339"/>
      <c r="N292" s="339"/>
      <c r="O292" s="339"/>
      <c r="P292" s="339"/>
      <c r="Q292" s="339"/>
      <c r="R292" s="1236">
        <f t="shared" si="151"/>
        <v>0</v>
      </c>
      <c r="S292" s="1237">
        <f t="shared" si="152"/>
        <v>0</v>
      </c>
      <c r="T292" s="341"/>
      <c r="U292" s="381">
        <f t="shared" si="153"/>
        <v>0</v>
      </c>
      <c r="V292" s="342">
        <f t="shared" si="154"/>
        <v>0</v>
      </c>
      <c r="W292" s="342">
        <f t="shared" si="155"/>
        <v>0</v>
      </c>
      <c r="X292" s="342">
        <f t="shared" si="156"/>
        <v>0</v>
      </c>
      <c r="Y292" s="382">
        <f t="shared" si="157"/>
        <v>0</v>
      </c>
      <c r="Z292" s="343">
        <f t="shared" si="158"/>
        <v>0</v>
      </c>
      <c r="AA292" s="343">
        <f t="shared" si="159"/>
        <v>0</v>
      </c>
      <c r="AB292" s="343">
        <f t="shared" si="160"/>
        <v>0</v>
      </c>
      <c r="AC292" s="383">
        <f t="shared" si="161"/>
        <v>0</v>
      </c>
      <c r="AD292" s="344">
        <f t="shared" si="162"/>
        <v>0</v>
      </c>
      <c r="AE292" s="344">
        <f t="shared" si="163"/>
        <v>0</v>
      </c>
      <c r="AF292" s="344">
        <f t="shared" si="164"/>
        <v>0</v>
      </c>
      <c r="AG292" s="345">
        <f t="shared" si="165"/>
        <v>0</v>
      </c>
      <c r="AH292" s="345">
        <f t="shared" si="166"/>
        <v>0</v>
      </c>
      <c r="AI292" s="345">
        <f t="shared" si="167"/>
        <v>0</v>
      </c>
      <c r="AJ292" s="306">
        <f t="shared" si="168"/>
        <v>0</v>
      </c>
      <c r="AK292" s="306">
        <f t="shared" si="169"/>
        <v>0</v>
      </c>
      <c r="AL292" s="306">
        <f t="shared" si="170"/>
        <v>0</v>
      </c>
      <c r="AM292" s="749"/>
      <c r="AN292" s="763"/>
      <c r="AO292" s="780"/>
      <c r="AP292" s="896"/>
      <c r="AQ292" s="896"/>
      <c r="AR292" s="896"/>
      <c r="AS292" s="780"/>
      <c r="AT292" s="780"/>
      <c r="AU292" s="780"/>
      <c r="AV292" s="780"/>
      <c r="AW292" s="780"/>
      <c r="AX292" s="780"/>
      <c r="AY292" s="780"/>
      <c r="AZ292" s="780"/>
      <c r="BA292" s="780"/>
    </row>
    <row r="293" spans="1:59" x14ac:dyDescent="0.2">
      <c r="A293" s="346"/>
      <c r="B293" s="347"/>
      <c r="C293" s="358"/>
      <c r="D293" s="349"/>
      <c r="E293" s="349"/>
      <c r="F293" s="350"/>
      <c r="G293" s="1211">
        <f t="shared" si="150"/>
        <v>0</v>
      </c>
      <c r="H293" s="339"/>
      <c r="I293" s="339"/>
      <c r="J293" s="339"/>
      <c r="K293" s="339"/>
      <c r="L293" s="339"/>
      <c r="M293" s="339"/>
      <c r="N293" s="339"/>
      <c r="O293" s="339"/>
      <c r="P293" s="339"/>
      <c r="Q293" s="339"/>
      <c r="R293" s="1236">
        <f t="shared" si="151"/>
        <v>0</v>
      </c>
      <c r="S293" s="1237">
        <f t="shared" si="152"/>
        <v>0</v>
      </c>
      <c r="T293" s="341"/>
      <c r="U293" s="381">
        <f t="shared" si="153"/>
        <v>0</v>
      </c>
      <c r="V293" s="342">
        <f t="shared" si="154"/>
        <v>0</v>
      </c>
      <c r="W293" s="342">
        <f t="shared" si="155"/>
        <v>0</v>
      </c>
      <c r="X293" s="342">
        <f t="shared" si="156"/>
        <v>0</v>
      </c>
      <c r="Y293" s="382">
        <f t="shared" si="157"/>
        <v>0</v>
      </c>
      <c r="Z293" s="343">
        <f t="shared" si="158"/>
        <v>0</v>
      </c>
      <c r="AA293" s="343">
        <f t="shared" si="159"/>
        <v>0</v>
      </c>
      <c r="AB293" s="343">
        <f t="shared" si="160"/>
        <v>0</v>
      </c>
      <c r="AC293" s="383">
        <f t="shared" si="161"/>
        <v>0</v>
      </c>
      <c r="AD293" s="344">
        <f t="shared" si="162"/>
        <v>0</v>
      </c>
      <c r="AE293" s="344">
        <f t="shared" si="163"/>
        <v>0</v>
      </c>
      <c r="AF293" s="344">
        <f t="shared" si="164"/>
        <v>0</v>
      </c>
      <c r="AG293" s="345">
        <f t="shared" si="165"/>
        <v>0</v>
      </c>
      <c r="AH293" s="345">
        <f t="shared" si="166"/>
        <v>0</v>
      </c>
      <c r="AI293" s="345">
        <f t="shared" si="167"/>
        <v>0</v>
      </c>
      <c r="AJ293" s="306">
        <f t="shared" si="168"/>
        <v>0</v>
      </c>
      <c r="AK293" s="306">
        <f t="shared" si="169"/>
        <v>0</v>
      </c>
      <c r="AL293" s="306">
        <f t="shared" si="170"/>
        <v>0</v>
      </c>
      <c r="AM293" s="749"/>
      <c r="AN293" s="763"/>
      <c r="AO293" s="780"/>
      <c r="AP293" s="896"/>
      <c r="AQ293" s="896"/>
      <c r="AR293" s="896"/>
      <c r="AS293" s="780"/>
      <c r="AT293" s="780"/>
      <c r="AU293" s="780"/>
      <c r="AV293" s="780"/>
      <c r="AW293" s="780"/>
      <c r="AX293" s="780"/>
      <c r="AY293" s="780"/>
      <c r="AZ293" s="780"/>
      <c r="BA293" s="780"/>
    </row>
    <row r="294" spans="1:59" ht="13.5" thickBot="1" x14ac:dyDescent="0.25">
      <c r="A294" s="346"/>
      <c r="B294" s="347"/>
      <c r="C294" s="358"/>
      <c r="D294" s="349"/>
      <c r="E294" s="349"/>
      <c r="F294" s="350"/>
      <c r="G294" s="1211">
        <f t="shared" si="150"/>
        <v>0</v>
      </c>
      <c r="H294" s="365"/>
      <c r="I294" s="365"/>
      <c r="J294" s="365"/>
      <c r="K294" s="365"/>
      <c r="L294" s="365"/>
      <c r="M294" s="365"/>
      <c r="N294" s="365"/>
      <c r="O294" s="365"/>
      <c r="P294" s="365"/>
      <c r="Q294" s="365"/>
      <c r="R294" s="1236">
        <f t="shared" si="151"/>
        <v>0</v>
      </c>
      <c r="S294" s="1237">
        <f t="shared" si="152"/>
        <v>0</v>
      </c>
      <c r="T294" s="341"/>
      <c r="U294" s="381">
        <f t="shared" si="153"/>
        <v>0</v>
      </c>
      <c r="V294" s="342">
        <f t="shared" si="154"/>
        <v>0</v>
      </c>
      <c r="W294" s="342">
        <f t="shared" si="155"/>
        <v>0</v>
      </c>
      <c r="X294" s="342">
        <f t="shared" si="156"/>
        <v>0</v>
      </c>
      <c r="Y294" s="382">
        <f t="shared" si="157"/>
        <v>0</v>
      </c>
      <c r="Z294" s="343">
        <f t="shared" si="158"/>
        <v>0</v>
      </c>
      <c r="AA294" s="343">
        <f t="shared" si="159"/>
        <v>0</v>
      </c>
      <c r="AB294" s="343">
        <f t="shared" si="160"/>
        <v>0</v>
      </c>
      <c r="AC294" s="383">
        <f t="shared" si="161"/>
        <v>0</v>
      </c>
      <c r="AD294" s="344">
        <f t="shared" si="162"/>
        <v>0</v>
      </c>
      <c r="AE294" s="344">
        <f t="shared" si="163"/>
        <v>0</v>
      </c>
      <c r="AF294" s="344">
        <f t="shared" si="164"/>
        <v>0</v>
      </c>
      <c r="AG294" s="345">
        <f t="shared" si="165"/>
        <v>0</v>
      </c>
      <c r="AH294" s="345">
        <f t="shared" si="166"/>
        <v>0</v>
      </c>
      <c r="AI294" s="345">
        <f t="shared" si="167"/>
        <v>0</v>
      </c>
      <c r="AJ294" s="306">
        <f t="shared" si="168"/>
        <v>0</v>
      </c>
      <c r="AK294" s="306">
        <f t="shared" si="169"/>
        <v>0</v>
      </c>
      <c r="AL294" s="306">
        <f t="shared" si="170"/>
        <v>0</v>
      </c>
      <c r="AM294" s="749"/>
      <c r="AN294" s="763"/>
      <c r="AO294" s="780"/>
      <c r="AP294" s="896"/>
      <c r="AQ294" s="896"/>
      <c r="AR294" s="896"/>
      <c r="AS294" s="780"/>
      <c r="AT294" s="780"/>
      <c r="AU294" s="780"/>
      <c r="AV294" s="780"/>
      <c r="AW294" s="780"/>
      <c r="AX294" s="780"/>
      <c r="AY294" s="780"/>
      <c r="AZ294" s="780"/>
      <c r="BA294" s="780"/>
    </row>
    <row r="295" spans="1:59" ht="13.5" thickBot="1" x14ac:dyDescent="0.25">
      <c r="A295" s="1242" t="s">
        <v>390</v>
      </c>
      <c r="B295" s="1243"/>
      <c r="C295" s="1225">
        <f>SUM(C270:C294)</f>
        <v>0</v>
      </c>
      <c r="D295" s="1226"/>
      <c r="E295" s="1226"/>
      <c r="F295" s="1226"/>
      <c r="G295" s="1228">
        <f>IF(ISERROR(SUM(G270:G294)/C295),0,(SUM(G270:G294)/C295))</f>
        <v>0</v>
      </c>
      <c r="H295" s="1228">
        <f>IFERROR((SUM(H270:H294)/$C$295),0)</f>
        <v>0</v>
      </c>
      <c r="I295" s="1228">
        <f>IFERROR((SUM(I270:I294)/$C$295),0)</f>
        <v>0</v>
      </c>
      <c r="J295" s="1228">
        <f>IFERROR((SUM(J270:J294)/$C$295),0)</f>
        <v>0</v>
      </c>
      <c r="K295" s="1228">
        <f t="shared" ref="K295" si="171">IFERROR((SUM(K270:K294)/$C$295),0)</f>
        <v>0</v>
      </c>
      <c r="L295" s="1228">
        <f t="shared" ref="L295:Q295" si="172">IFERROR((SUM(L270:L294)/$C$295),0)</f>
        <v>0</v>
      </c>
      <c r="M295" s="1228">
        <f t="shared" si="172"/>
        <v>0</v>
      </c>
      <c r="N295" s="1228">
        <f t="shared" si="172"/>
        <v>0</v>
      </c>
      <c r="O295" s="1228">
        <f t="shared" si="172"/>
        <v>0</v>
      </c>
      <c r="P295" s="1228">
        <f t="shared" si="172"/>
        <v>0</v>
      </c>
      <c r="Q295" s="1228">
        <f t="shared" si="172"/>
        <v>0</v>
      </c>
      <c r="R295" s="1262">
        <f>SUM(R270:R294)</f>
        <v>0</v>
      </c>
      <c r="S295" s="1230">
        <f>IFERROR(SUM(R295/C295),0)</f>
        <v>0</v>
      </c>
      <c r="T295" s="308"/>
      <c r="U295" s="308"/>
      <c r="V295" s="308"/>
      <c r="W295" s="308"/>
      <c r="X295" s="308"/>
      <c r="Y295" s="308"/>
      <c r="Z295" s="308"/>
      <c r="AA295" s="308"/>
      <c r="AB295" s="308"/>
      <c r="AC295" s="308"/>
      <c r="AD295" s="308"/>
      <c r="AE295" s="308"/>
      <c r="AF295" s="308"/>
      <c r="AG295" s="308"/>
      <c r="AH295" s="308"/>
      <c r="AI295" s="308"/>
      <c r="AJ295" s="308"/>
      <c r="AK295" s="308"/>
      <c r="AL295" s="308"/>
      <c r="AM295" s="751"/>
      <c r="AN295" s="765"/>
      <c r="AO295" s="782"/>
      <c r="AP295" s="782"/>
      <c r="AQ295" s="782"/>
      <c r="AR295" s="782"/>
      <c r="AS295" s="782"/>
      <c r="AT295" s="782"/>
      <c r="AU295" s="782"/>
      <c r="AV295" s="782"/>
      <c r="AW295" s="782"/>
      <c r="AX295" s="782"/>
      <c r="AY295" s="782"/>
      <c r="AZ295" s="782"/>
      <c r="BA295" s="782"/>
      <c r="BG295" s="431"/>
    </row>
    <row r="296" spans="1:59" ht="13.5" thickBot="1" x14ac:dyDescent="0.25">
      <c r="A296" s="1245"/>
      <c r="B296" s="1246"/>
      <c r="P296" s="1399" t="s">
        <v>1193</v>
      </c>
      <c r="Q296" s="1400"/>
      <c r="R296" s="1401"/>
      <c r="S296" s="1261">
        <f>S295*(100+$R$8)%*(100+$R$9)%</f>
        <v>0</v>
      </c>
      <c r="T296" s="363"/>
      <c r="U296" s="364"/>
      <c r="V296" s="364"/>
      <c r="W296" s="364"/>
      <c r="X296" s="364"/>
      <c r="Y296" s="364"/>
      <c r="Z296" s="364"/>
      <c r="AA296" s="364"/>
      <c r="AB296" s="364"/>
      <c r="AC296" s="364"/>
      <c r="AD296" s="364"/>
      <c r="AE296" s="364"/>
      <c r="AF296" s="364"/>
      <c r="AG296" s="364"/>
      <c r="AH296" s="364"/>
      <c r="AI296" s="364"/>
      <c r="AJ296" s="364"/>
      <c r="AK296" s="364"/>
      <c r="AL296" s="364"/>
      <c r="AM296" s="753"/>
      <c r="AN296" s="768"/>
      <c r="AO296" s="785"/>
      <c r="AP296" s="785"/>
      <c r="AQ296" s="785"/>
      <c r="AR296" s="785"/>
      <c r="AS296" s="785"/>
      <c r="AT296" s="785"/>
      <c r="AU296" s="785"/>
      <c r="AV296" s="785"/>
      <c r="AW296" s="785"/>
      <c r="AX296" s="785"/>
      <c r="AY296" s="785"/>
      <c r="AZ296" s="785"/>
      <c r="BA296" s="785"/>
    </row>
    <row r="297" spans="1:59" x14ac:dyDescent="0.2">
      <c r="A297" s="1233" t="s">
        <v>391</v>
      </c>
      <c r="B297" s="194"/>
      <c r="J297" s="1721"/>
      <c r="K297" s="1721"/>
      <c r="L297" s="1721"/>
      <c r="M297" s="1721"/>
      <c r="N297" s="1721"/>
      <c r="O297" s="1721"/>
      <c r="P297" s="1721"/>
      <c r="Q297" s="1721"/>
      <c r="R297" s="1721"/>
      <c r="S297" s="1722"/>
      <c r="T297" s="362"/>
      <c r="U297" s="311"/>
      <c r="V297" s="311"/>
      <c r="W297" s="311"/>
      <c r="X297" s="311"/>
      <c r="Y297" s="311"/>
      <c r="Z297" s="311"/>
      <c r="AA297" s="311"/>
      <c r="AB297" s="311"/>
      <c r="AC297" s="311"/>
      <c r="AD297" s="311"/>
      <c r="AE297" s="311"/>
      <c r="AF297" s="311"/>
      <c r="AG297" s="311"/>
      <c r="AH297" s="311"/>
      <c r="AI297" s="311"/>
      <c r="AJ297" s="311"/>
      <c r="AK297" s="311"/>
      <c r="AL297" s="311"/>
      <c r="AM297" s="311"/>
      <c r="AN297" s="769"/>
      <c r="AO297" s="786"/>
      <c r="AP297" s="786"/>
      <c r="AQ297" s="786"/>
      <c r="AR297" s="786"/>
      <c r="AS297" s="786"/>
      <c r="AT297" s="786"/>
      <c r="AU297" s="786"/>
      <c r="AV297" s="786"/>
      <c r="AW297" s="786"/>
      <c r="AX297" s="786"/>
      <c r="AY297" s="786"/>
      <c r="AZ297" s="786"/>
      <c r="BA297" s="786"/>
    </row>
    <row r="298" spans="1:59" x14ac:dyDescent="0.2">
      <c r="A298" s="346"/>
      <c r="B298" s="347"/>
      <c r="C298" s="358"/>
      <c r="D298" s="366"/>
      <c r="E298" s="366"/>
      <c r="F298" s="339"/>
      <c r="G298" s="1211">
        <f t="shared" ref="G298:G327" si="173">IFERROR(F298*C298,"")</f>
        <v>0</v>
      </c>
      <c r="H298" s="339"/>
      <c r="I298" s="339"/>
      <c r="J298" s="339"/>
      <c r="K298" s="339"/>
      <c r="L298" s="339"/>
      <c r="M298" s="339"/>
      <c r="N298" s="339"/>
      <c r="O298" s="339"/>
      <c r="P298" s="339"/>
      <c r="Q298" s="339"/>
      <c r="R298" s="1236">
        <f t="shared" ref="R298:R327" si="174">IFERROR(IF(A298&lt;&gt;"GfB",(SUM(G298:J298,L298,P298)*12+(N298+O298))*(100+$J$12+$J$13)%+((K298+M298+Q298)*12),(SUM(G298:J298,L298,P298)*12+(N298+O298))*(100+$J$15+$J$13)%+((K298+M298+Q298)*12)),0)</f>
        <v>0</v>
      </c>
      <c r="S298" s="1237">
        <f t="shared" ref="S298:S327" si="175">IF(ISERROR(R298/C298),0,(R298/C298))</f>
        <v>0</v>
      </c>
      <c r="T298" s="341"/>
      <c r="U298" s="381">
        <f t="shared" ref="U298:U327" si="176">(IF(AND($B298="PFK/BFK",$C298&gt;0,$F298&gt;0),($G298+$H298),0))</f>
        <v>0</v>
      </c>
      <c r="V298" s="342">
        <f t="shared" ref="V298:V327" si="177">(IF(AND($B298="PFK/BFK",$C298&gt;0,$F298&gt;0),$I298,0))</f>
        <v>0</v>
      </c>
      <c r="W298" s="342">
        <f t="shared" ref="W298:W327" si="178">(IF(AND($B298="PFK/BFK",$C298&gt;0,$F298&gt;0),($J298+$K298),0))</f>
        <v>0</v>
      </c>
      <c r="X298" s="342">
        <f t="shared" ref="X298:X327" si="179">(IF(AND($B298="PFK/BFK",$C298&gt;0,$F298&gt;0),(($N298+$O298)/12),0))</f>
        <v>0</v>
      </c>
      <c r="Y298" s="382">
        <f t="shared" ref="Y298:Y327" si="180">(IF(AND($B298="PK/BK",$C298&gt;0,$F298&gt;0),($G298+$H298),0))</f>
        <v>0</v>
      </c>
      <c r="Z298" s="343">
        <f t="shared" ref="Z298:Z327" si="181">(IF(AND($B298="PK/BK",$C298&gt;0,$F298&gt;0),$I298,0))</f>
        <v>0</v>
      </c>
      <c r="AA298" s="343">
        <f t="shared" ref="AA298:AA327" si="182">(IF(AND($B298="PK/BK",$C298&gt;0,$F298&gt;0),($J298+$K298),0))</f>
        <v>0</v>
      </c>
      <c r="AB298" s="343">
        <f t="shared" ref="AB298:AB327" si="183">(IF(AND($B298="PK/BK",$C298&gt;0,$F298&gt;0),(($N298+$O298)/12),0))</f>
        <v>0</v>
      </c>
      <c r="AC298" s="383">
        <f t="shared" ref="AC298:AC327" si="184">(IF(AND($B298="PK/BK o.",$C298&gt;0,$F298&gt;0),($G298+$H298),0))</f>
        <v>0</v>
      </c>
      <c r="AD298" s="344">
        <f t="shared" ref="AD298:AD327" si="185">(IF(AND($B298="PK/BK o.",$C298&gt;0,$F298&gt;0),$I298,0))</f>
        <v>0</v>
      </c>
      <c r="AE298" s="344">
        <f t="shared" ref="AE298:AE327" si="186">(IF(AND($B298="PK/BK o.",$C298&gt;0,$F298&gt;0),($J298+$K298),0))</f>
        <v>0</v>
      </c>
      <c r="AF298" s="344">
        <f t="shared" ref="AF298:AF327" si="187">(IF(AND($B298="PK/BK o.",$C298&gt;0,$F298&gt;0),(($N298+$O298)/12),0))</f>
        <v>0</v>
      </c>
      <c r="AG298" s="345">
        <f t="shared" ref="AG298:AG327" si="188">IF(AND($B298="PFK/BFK",$C298&gt;0,$F298&gt;0),$C298,0)</f>
        <v>0</v>
      </c>
      <c r="AH298" s="345">
        <f t="shared" ref="AH298:AH327" si="189">IF(AND($B298="PK/BK",$C298&gt;0,$F298&gt;0),$C298,0)</f>
        <v>0</v>
      </c>
      <c r="AI298" s="345">
        <f t="shared" ref="AI298:AI327" si="190">IF(AND($B298="PK/BK o.",$C298&gt;0,$F298&gt;0),$C298,0)</f>
        <v>0</v>
      </c>
      <c r="AJ298" s="306">
        <f t="shared" ref="AJ298:AJ327" si="191">IF(AND($B298="PFK/BFK",$C298&gt;0,$F298&gt;0),$R298,0)</f>
        <v>0</v>
      </c>
      <c r="AK298" s="306">
        <f t="shared" ref="AK298:AK327" si="192">IF(AND($B298="PK/BK",$C298&gt;0,$F298&gt;0),$R298,0)</f>
        <v>0</v>
      </c>
      <c r="AL298" s="306">
        <f t="shared" ref="AL298:AL327" si="193">IF(AND($B298="PK/BK o.",$C298&gt;0,$F298&gt;0),$R298,0)</f>
        <v>0</v>
      </c>
      <c r="AM298" s="749"/>
      <c r="AN298" s="763"/>
      <c r="AO298" s="780"/>
      <c r="AP298" s="896"/>
      <c r="AQ298" s="896"/>
      <c r="AR298" s="896"/>
      <c r="AS298" s="780"/>
      <c r="AT298" s="780"/>
      <c r="AU298" s="780"/>
      <c r="AV298" s="780"/>
      <c r="AW298" s="780"/>
      <c r="AX298" s="780"/>
      <c r="AY298" s="780"/>
      <c r="AZ298" s="780"/>
      <c r="BA298" s="780"/>
    </row>
    <row r="299" spans="1:59" x14ac:dyDescent="0.2">
      <c r="A299" s="346"/>
      <c r="B299" s="347"/>
      <c r="C299" s="358"/>
      <c r="D299" s="366"/>
      <c r="E299" s="366"/>
      <c r="F299" s="339"/>
      <c r="G299" s="1211">
        <f t="shared" si="173"/>
        <v>0</v>
      </c>
      <c r="H299" s="339"/>
      <c r="I299" s="339"/>
      <c r="J299" s="339"/>
      <c r="K299" s="339"/>
      <c r="L299" s="339"/>
      <c r="M299" s="339"/>
      <c r="N299" s="339"/>
      <c r="O299" s="339"/>
      <c r="P299" s="339"/>
      <c r="Q299" s="339"/>
      <c r="R299" s="1236">
        <f t="shared" si="174"/>
        <v>0</v>
      </c>
      <c r="S299" s="1237">
        <f t="shared" si="175"/>
        <v>0</v>
      </c>
      <c r="T299" s="341"/>
      <c r="U299" s="381">
        <f t="shared" si="176"/>
        <v>0</v>
      </c>
      <c r="V299" s="342">
        <f t="shared" si="177"/>
        <v>0</v>
      </c>
      <c r="W299" s="342">
        <f t="shared" si="178"/>
        <v>0</v>
      </c>
      <c r="X299" s="342">
        <f t="shared" si="179"/>
        <v>0</v>
      </c>
      <c r="Y299" s="382">
        <f t="shared" si="180"/>
        <v>0</v>
      </c>
      <c r="Z299" s="343">
        <f t="shared" si="181"/>
        <v>0</v>
      </c>
      <c r="AA299" s="343">
        <f t="shared" si="182"/>
        <v>0</v>
      </c>
      <c r="AB299" s="343">
        <f t="shared" si="183"/>
        <v>0</v>
      </c>
      <c r="AC299" s="383">
        <f t="shared" si="184"/>
        <v>0</v>
      </c>
      <c r="AD299" s="344">
        <f t="shared" si="185"/>
        <v>0</v>
      </c>
      <c r="AE299" s="344">
        <f t="shared" si="186"/>
        <v>0</v>
      </c>
      <c r="AF299" s="344">
        <f t="shared" si="187"/>
        <v>0</v>
      </c>
      <c r="AG299" s="345">
        <f t="shared" si="188"/>
        <v>0</v>
      </c>
      <c r="AH299" s="345">
        <f t="shared" si="189"/>
        <v>0</v>
      </c>
      <c r="AI299" s="345">
        <f t="shared" si="190"/>
        <v>0</v>
      </c>
      <c r="AJ299" s="306">
        <f t="shared" si="191"/>
        <v>0</v>
      </c>
      <c r="AK299" s="306">
        <f t="shared" si="192"/>
        <v>0</v>
      </c>
      <c r="AL299" s="306">
        <f t="shared" si="193"/>
        <v>0</v>
      </c>
      <c r="AM299" s="749"/>
      <c r="AN299" s="763"/>
      <c r="AO299" s="780"/>
      <c r="AP299" s="896"/>
      <c r="AQ299" s="896"/>
      <c r="AR299" s="896"/>
      <c r="AS299" s="780"/>
      <c r="AT299" s="780"/>
      <c r="AU299" s="780"/>
      <c r="AV299" s="780"/>
      <c r="AW299" s="780"/>
      <c r="AX299" s="780"/>
      <c r="AY299" s="780"/>
      <c r="AZ299" s="780"/>
      <c r="BA299" s="780"/>
    </row>
    <row r="300" spans="1:59" x14ac:dyDescent="0.2">
      <c r="A300" s="346"/>
      <c r="B300" s="347"/>
      <c r="C300" s="358"/>
      <c r="D300" s="366"/>
      <c r="E300" s="366"/>
      <c r="F300" s="339"/>
      <c r="G300" s="1211">
        <f t="shared" si="173"/>
        <v>0</v>
      </c>
      <c r="H300" s="339"/>
      <c r="I300" s="339"/>
      <c r="J300" s="339"/>
      <c r="K300" s="339"/>
      <c r="L300" s="339"/>
      <c r="M300" s="339"/>
      <c r="N300" s="339"/>
      <c r="O300" s="339"/>
      <c r="P300" s="339"/>
      <c r="Q300" s="339"/>
      <c r="R300" s="1236">
        <f t="shared" si="174"/>
        <v>0</v>
      </c>
      <c r="S300" s="1237">
        <f t="shared" si="175"/>
        <v>0</v>
      </c>
      <c r="T300" s="341"/>
      <c r="U300" s="381">
        <f t="shared" si="176"/>
        <v>0</v>
      </c>
      <c r="V300" s="342">
        <f t="shared" si="177"/>
        <v>0</v>
      </c>
      <c r="W300" s="342">
        <f t="shared" si="178"/>
        <v>0</v>
      </c>
      <c r="X300" s="342">
        <f t="shared" si="179"/>
        <v>0</v>
      </c>
      <c r="Y300" s="382">
        <f t="shared" si="180"/>
        <v>0</v>
      </c>
      <c r="Z300" s="343">
        <f t="shared" si="181"/>
        <v>0</v>
      </c>
      <c r="AA300" s="343">
        <f t="shared" si="182"/>
        <v>0</v>
      </c>
      <c r="AB300" s="343">
        <f t="shared" si="183"/>
        <v>0</v>
      </c>
      <c r="AC300" s="383">
        <f t="shared" si="184"/>
        <v>0</v>
      </c>
      <c r="AD300" s="344">
        <f t="shared" si="185"/>
        <v>0</v>
      </c>
      <c r="AE300" s="344">
        <f t="shared" si="186"/>
        <v>0</v>
      </c>
      <c r="AF300" s="344">
        <f t="shared" si="187"/>
        <v>0</v>
      </c>
      <c r="AG300" s="345">
        <f t="shared" si="188"/>
        <v>0</v>
      </c>
      <c r="AH300" s="345">
        <f t="shared" si="189"/>
        <v>0</v>
      </c>
      <c r="AI300" s="345">
        <f t="shared" si="190"/>
        <v>0</v>
      </c>
      <c r="AJ300" s="306">
        <f t="shared" si="191"/>
        <v>0</v>
      </c>
      <c r="AK300" s="306">
        <f t="shared" si="192"/>
        <v>0</v>
      </c>
      <c r="AL300" s="306">
        <f t="shared" si="193"/>
        <v>0</v>
      </c>
      <c r="AM300" s="749"/>
      <c r="AN300" s="763"/>
      <c r="AO300" s="780"/>
      <c r="AP300" s="896"/>
      <c r="AQ300" s="896"/>
      <c r="AR300" s="896"/>
      <c r="AS300" s="780"/>
      <c r="AT300" s="780"/>
      <c r="AU300" s="780"/>
      <c r="AV300" s="780"/>
      <c r="AW300" s="780"/>
      <c r="AX300" s="780"/>
      <c r="AY300" s="780"/>
      <c r="AZ300" s="780"/>
      <c r="BA300" s="780"/>
    </row>
    <row r="301" spans="1:59" x14ac:dyDescent="0.2">
      <c r="A301" s="346"/>
      <c r="B301" s="347"/>
      <c r="C301" s="358"/>
      <c r="D301" s="366"/>
      <c r="E301" s="366"/>
      <c r="F301" s="339"/>
      <c r="G301" s="1211">
        <f t="shared" si="173"/>
        <v>0</v>
      </c>
      <c r="H301" s="339"/>
      <c r="I301" s="339"/>
      <c r="J301" s="339"/>
      <c r="K301" s="339"/>
      <c r="L301" s="339"/>
      <c r="M301" s="339"/>
      <c r="N301" s="339"/>
      <c r="O301" s="339"/>
      <c r="P301" s="339"/>
      <c r="Q301" s="339"/>
      <c r="R301" s="1236">
        <f t="shared" si="174"/>
        <v>0</v>
      </c>
      <c r="S301" s="1237">
        <f t="shared" si="175"/>
        <v>0</v>
      </c>
      <c r="T301" s="341"/>
      <c r="U301" s="381">
        <f t="shared" si="176"/>
        <v>0</v>
      </c>
      <c r="V301" s="342">
        <f t="shared" si="177"/>
        <v>0</v>
      </c>
      <c r="W301" s="342">
        <f t="shared" si="178"/>
        <v>0</v>
      </c>
      <c r="X301" s="342">
        <f t="shared" si="179"/>
        <v>0</v>
      </c>
      <c r="Y301" s="382">
        <f t="shared" si="180"/>
        <v>0</v>
      </c>
      <c r="Z301" s="343">
        <f t="shared" si="181"/>
        <v>0</v>
      </c>
      <c r="AA301" s="343">
        <f t="shared" si="182"/>
        <v>0</v>
      </c>
      <c r="AB301" s="343">
        <f t="shared" si="183"/>
        <v>0</v>
      </c>
      <c r="AC301" s="383">
        <f t="shared" si="184"/>
        <v>0</v>
      </c>
      <c r="AD301" s="344">
        <f t="shared" si="185"/>
        <v>0</v>
      </c>
      <c r="AE301" s="344">
        <f t="shared" si="186"/>
        <v>0</v>
      </c>
      <c r="AF301" s="344">
        <f t="shared" si="187"/>
        <v>0</v>
      </c>
      <c r="AG301" s="345">
        <f t="shared" si="188"/>
        <v>0</v>
      </c>
      <c r="AH301" s="345">
        <f t="shared" si="189"/>
        <v>0</v>
      </c>
      <c r="AI301" s="345">
        <f t="shared" si="190"/>
        <v>0</v>
      </c>
      <c r="AJ301" s="306">
        <f t="shared" si="191"/>
        <v>0</v>
      </c>
      <c r="AK301" s="306">
        <f t="shared" si="192"/>
        <v>0</v>
      </c>
      <c r="AL301" s="306">
        <f t="shared" si="193"/>
        <v>0</v>
      </c>
      <c r="AM301" s="749"/>
      <c r="AN301" s="763"/>
      <c r="AO301" s="780"/>
      <c r="AP301" s="896"/>
      <c r="AQ301" s="896"/>
      <c r="AR301" s="896"/>
      <c r="AS301" s="780"/>
      <c r="AT301" s="780"/>
      <c r="AU301" s="780"/>
      <c r="AV301" s="780"/>
      <c r="AW301" s="780"/>
      <c r="AX301" s="780"/>
      <c r="AY301" s="780"/>
      <c r="AZ301" s="780"/>
      <c r="BA301" s="780"/>
    </row>
    <row r="302" spans="1:59" x14ac:dyDescent="0.2">
      <c r="A302" s="346"/>
      <c r="B302" s="347"/>
      <c r="C302" s="358"/>
      <c r="D302" s="366"/>
      <c r="E302" s="366"/>
      <c r="F302" s="339"/>
      <c r="G302" s="1211">
        <f t="shared" si="173"/>
        <v>0</v>
      </c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1236">
        <f t="shared" si="174"/>
        <v>0</v>
      </c>
      <c r="S302" s="1237">
        <f t="shared" si="175"/>
        <v>0</v>
      </c>
      <c r="T302" s="341"/>
      <c r="U302" s="381">
        <f t="shared" si="176"/>
        <v>0</v>
      </c>
      <c r="V302" s="342">
        <f t="shared" si="177"/>
        <v>0</v>
      </c>
      <c r="W302" s="342">
        <f t="shared" si="178"/>
        <v>0</v>
      </c>
      <c r="X302" s="342">
        <f t="shared" si="179"/>
        <v>0</v>
      </c>
      <c r="Y302" s="382">
        <f t="shared" si="180"/>
        <v>0</v>
      </c>
      <c r="Z302" s="343">
        <f t="shared" si="181"/>
        <v>0</v>
      </c>
      <c r="AA302" s="343">
        <f t="shared" si="182"/>
        <v>0</v>
      </c>
      <c r="AB302" s="343">
        <f t="shared" si="183"/>
        <v>0</v>
      </c>
      <c r="AC302" s="383">
        <f t="shared" si="184"/>
        <v>0</v>
      </c>
      <c r="AD302" s="344">
        <f t="shared" si="185"/>
        <v>0</v>
      </c>
      <c r="AE302" s="344">
        <f t="shared" si="186"/>
        <v>0</v>
      </c>
      <c r="AF302" s="344">
        <f t="shared" si="187"/>
        <v>0</v>
      </c>
      <c r="AG302" s="345">
        <f t="shared" si="188"/>
        <v>0</v>
      </c>
      <c r="AH302" s="345">
        <f t="shared" si="189"/>
        <v>0</v>
      </c>
      <c r="AI302" s="345">
        <f t="shared" si="190"/>
        <v>0</v>
      </c>
      <c r="AJ302" s="306">
        <f t="shared" si="191"/>
        <v>0</v>
      </c>
      <c r="AK302" s="306">
        <f t="shared" si="192"/>
        <v>0</v>
      </c>
      <c r="AL302" s="306">
        <f t="shared" si="193"/>
        <v>0</v>
      </c>
      <c r="AM302" s="749"/>
      <c r="AN302" s="763"/>
      <c r="AO302" s="780"/>
      <c r="AP302" s="896"/>
      <c r="AQ302" s="896"/>
      <c r="AR302" s="896"/>
      <c r="AS302" s="780"/>
      <c r="AT302" s="780"/>
      <c r="AU302" s="780"/>
      <c r="AV302" s="780"/>
      <c r="AW302" s="780"/>
      <c r="AX302" s="780"/>
      <c r="AY302" s="780"/>
      <c r="AZ302" s="780"/>
      <c r="BA302" s="780"/>
    </row>
    <row r="303" spans="1:59" x14ac:dyDescent="0.2">
      <c r="A303" s="346"/>
      <c r="B303" s="347"/>
      <c r="C303" s="358"/>
      <c r="D303" s="366"/>
      <c r="E303" s="366"/>
      <c r="F303" s="339"/>
      <c r="G303" s="1211">
        <f t="shared" si="173"/>
        <v>0</v>
      </c>
      <c r="H303" s="339"/>
      <c r="I303" s="339"/>
      <c r="J303" s="339"/>
      <c r="K303" s="339"/>
      <c r="L303" s="339"/>
      <c r="M303" s="339"/>
      <c r="N303" s="339"/>
      <c r="O303" s="339"/>
      <c r="P303" s="339"/>
      <c r="Q303" s="339"/>
      <c r="R303" s="1236">
        <f t="shared" si="174"/>
        <v>0</v>
      </c>
      <c r="S303" s="1237">
        <f t="shared" si="175"/>
        <v>0</v>
      </c>
      <c r="T303" s="341"/>
      <c r="U303" s="381">
        <f t="shared" si="176"/>
        <v>0</v>
      </c>
      <c r="V303" s="342">
        <f t="shared" si="177"/>
        <v>0</v>
      </c>
      <c r="W303" s="342">
        <f t="shared" si="178"/>
        <v>0</v>
      </c>
      <c r="X303" s="342">
        <f t="shared" si="179"/>
        <v>0</v>
      </c>
      <c r="Y303" s="382">
        <f t="shared" si="180"/>
        <v>0</v>
      </c>
      <c r="Z303" s="343">
        <f t="shared" si="181"/>
        <v>0</v>
      </c>
      <c r="AA303" s="343">
        <f t="shared" si="182"/>
        <v>0</v>
      </c>
      <c r="AB303" s="343">
        <f t="shared" si="183"/>
        <v>0</v>
      </c>
      <c r="AC303" s="383">
        <f t="shared" si="184"/>
        <v>0</v>
      </c>
      <c r="AD303" s="344">
        <f t="shared" si="185"/>
        <v>0</v>
      </c>
      <c r="AE303" s="344">
        <f t="shared" si="186"/>
        <v>0</v>
      </c>
      <c r="AF303" s="344">
        <f t="shared" si="187"/>
        <v>0</v>
      </c>
      <c r="AG303" s="345">
        <f t="shared" si="188"/>
        <v>0</v>
      </c>
      <c r="AH303" s="345">
        <f t="shared" si="189"/>
        <v>0</v>
      </c>
      <c r="AI303" s="345">
        <f t="shared" si="190"/>
        <v>0</v>
      </c>
      <c r="AJ303" s="306">
        <f t="shared" si="191"/>
        <v>0</v>
      </c>
      <c r="AK303" s="306">
        <f t="shared" si="192"/>
        <v>0</v>
      </c>
      <c r="AL303" s="306">
        <f t="shared" si="193"/>
        <v>0</v>
      </c>
      <c r="AM303" s="749"/>
      <c r="AN303" s="763"/>
      <c r="AO303" s="780"/>
      <c r="AP303" s="896"/>
      <c r="AQ303" s="896"/>
      <c r="AR303" s="896"/>
      <c r="AS303" s="780"/>
      <c r="AT303" s="780"/>
      <c r="AU303" s="780"/>
      <c r="AV303" s="780"/>
      <c r="AW303" s="780"/>
      <c r="AX303" s="780"/>
      <c r="AY303" s="780"/>
      <c r="AZ303" s="780"/>
      <c r="BA303" s="780"/>
    </row>
    <row r="304" spans="1:59" x14ac:dyDescent="0.2">
      <c r="A304" s="346"/>
      <c r="B304" s="347"/>
      <c r="C304" s="358"/>
      <c r="D304" s="366"/>
      <c r="E304" s="366"/>
      <c r="F304" s="339"/>
      <c r="G304" s="1211">
        <f t="shared" si="173"/>
        <v>0</v>
      </c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1236">
        <f t="shared" si="174"/>
        <v>0</v>
      </c>
      <c r="S304" s="1237">
        <f t="shared" si="175"/>
        <v>0</v>
      </c>
      <c r="T304" s="341"/>
      <c r="U304" s="381">
        <f t="shared" si="176"/>
        <v>0</v>
      </c>
      <c r="V304" s="342">
        <f t="shared" si="177"/>
        <v>0</v>
      </c>
      <c r="W304" s="342">
        <f t="shared" si="178"/>
        <v>0</v>
      </c>
      <c r="X304" s="342">
        <f t="shared" si="179"/>
        <v>0</v>
      </c>
      <c r="Y304" s="382">
        <f t="shared" si="180"/>
        <v>0</v>
      </c>
      <c r="Z304" s="343">
        <f t="shared" si="181"/>
        <v>0</v>
      </c>
      <c r="AA304" s="343">
        <f t="shared" si="182"/>
        <v>0</v>
      </c>
      <c r="AB304" s="343">
        <f t="shared" si="183"/>
        <v>0</v>
      </c>
      <c r="AC304" s="383">
        <f t="shared" si="184"/>
        <v>0</v>
      </c>
      <c r="AD304" s="344">
        <f t="shared" si="185"/>
        <v>0</v>
      </c>
      <c r="AE304" s="344">
        <f t="shared" si="186"/>
        <v>0</v>
      </c>
      <c r="AF304" s="344">
        <f t="shared" si="187"/>
        <v>0</v>
      </c>
      <c r="AG304" s="345">
        <f t="shared" si="188"/>
        <v>0</v>
      </c>
      <c r="AH304" s="345">
        <f t="shared" si="189"/>
        <v>0</v>
      </c>
      <c r="AI304" s="345">
        <f t="shared" si="190"/>
        <v>0</v>
      </c>
      <c r="AJ304" s="306">
        <f t="shared" si="191"/>
        <v>0</v>
      </c>
      <c r="AK304" s="306">
        <f t="shared" si="192"/>
        <v>0</v>
      </c>
      <c r="AL304" s="306">
        <f t="shared" si="193"/>
        <v>0</v>
      </c>
      <c r="AM304" s="749"/>
      <c r="AN304" s="763"/>
      <c r="AO304" s="780"/>
      <c r="AP304" s="896"/>
      <c r="AQ304" s="896"/>
      <c r="AR304" s="896"/>
      <c r="AS304" s="780"/>
      <c r="AT304" s="780"/>
      <c r="AU304" s="780"/>
      <c r="AV304" s="780"/>
      <c r="AW304" s="780"/>
      <c r="AX304" s="780"/>
      <c r="AY304" s="780"/>
      <c r="AZ304" s="780"/>
      <c r="BA304" s="780"/>
    </row>
    <row r="305" spans="1:53" x14ac:dyDescent="0.2">
      <c r="A305" s="346"/>
      <c r="B305" s="347"/>
      <c r="C305" s="358"/>
      <c r="D305" s="366"/>
      <c r="E305" s="366"/>
      <c r="F305" s="339"/>
      <c r="G305" s="1211">
        <f t="shared" si="173"/>
        <v>0</v>
      </c>
      <c r="H305" s="339"/>
      <c r="I305" s="339"/>
      <c r="J305" s="339"/>
      <c r="K305" s="339"/>
      <c r="L305" s="339"/>
      <c r="M305" s="339"/>
      <c r="N305" s="339"/>
      <c r="O305" s="339"/>
      <c r="P305" s="339"/>
      <c r="Q305" s="339"/>
      <c r="R305" s="1236">
        <f t="shared" si="174"/>
        <v>0</v>
      </c>
      <c r="S305" s="1237">
        <f t="shared" si="175"/>
        <v>0</v>
      </c>
      <c r="T305" s="341"/>
      <c r="U305" s="381">
        <f t="shared" si="176"/>
        <v>0</v>
      </c>
      <c r="V305" s="342">
        <f t="shared" si="177"/>
        <v>0</v>
      </c>
      <c r="W305" s="342">
        <f t="shared" si="178"/>
        <v>0</v>
      </c>
      <c r="X305" s="342">
        <f t="shared" si="179"/>
        <v>0</v>
      </c>
      <c r="Y305" s="382">
        <f t="shared" si="180"/>
        <v>0</v>
      </c>
      <c r="Z305" s="343">
        <f t="shared" si="181"/>
        <v>0</v>
      </c>
      <c r="AA305" s="343">
        <f t="shared" si="182"/>
        <v>0</v>
      </c>
      <c r="AB305" s="343">
        <f t="shared" si="183"/>
        <v>0</v>
      </c>
      <c r="AC305" s="383">
        <f t="shared" si="184"/>
        <v>0</v>
      </c>
      <c r="AD305" s="344">
        <f t="shared" si="185"/>
        <v>0</v>
      </c>
      <c r="AE305" s="344">
        <f t="shared" si="186"/>
        <v>0</v>
      </c>
      <c r="AF305" s="344">
        <f t="shared" si="187"/>
        <v>0</v>
      </c>
      <c r="AG305" s="345">
        <f t="shared" si="188"/>
        <v>0</v>
      </c>
      <c r="AH305" s="345">
        <f t="shared" si="189"/>
        <v>0</v>
      </c>
      <c r="AI305" s="345">
        <f t="shared" si="190"/>
        <v>0</v>
      </c>
      <c r="AJ305" s="306">
        <f t="shared" si="191"/>
        <v>0</v>
      </c>
      <c r="AK305" s="306">
        <f t="shared" si="192"/>
        <v>0</v>
      </c>
      <c r="AL305" s="306">
        <f t="shared" si="193"/>
        <v>0</v>
      </c>
      <c r="AM305" s="749"/>
      <c r="AN305" s="763"/>
      <c r="AO305" s="780"/>
      <c r="AP305" s="896"/>
      <c r="AQ305" s="896"/>
      <c r="AR305" s="896"/>
      <c r="AS305" s="780"/>
      <c r="AT305" s="780"/>
      <c r="AU305" s="780"/>
      <c r="AV305" s="780"/>
      <c r="AW305" s="780"/>
      <c r="AX305" s="780"/>
      <c r="AY305" s="780"/>
      <c r="AZ305" s="780"/>
      <c r="BA305" s="780"/>
    </row>
    <row r="306" spans="1:53" x14ac:dyDescent="0.2">
      <c r="A306" s="346"/>
      <c r="B306" s="347"/>
      <c r="C306" s="358"/>
      <c r="D306" s="366"/>
      <c r="E306" s="366"/>
      <c r="F306" s="339"/>
      <c r="G306" s="1211">
        <f t="shared" si="173"/>
        <v>0</v>
      </c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1236">
        <f t="shared" si="174"/>
        <v>0</v>
      </c>
      <c r="S306" s="1237">
        <f t="shared" si="175"/>
        <v>0</v>
      </c>
      <c r="T306" s="341"/>
      <c r="U306" s="381">
        <f t="shared" si="176"/>
        <v>0</v>
      </c>
      <c r="V306" s="342">
        <f t="shared" si="177"/>
        <v>0</v>
      </c>
      <c r="W306" s="342">
        <f t="shared" si="178"/>
        <v>0</v>
      </c>
      <c r="X306" s="342">
        <f t="shared" si="179"/>
        <v>0</v>
      </c>
      <c r="Y306" s="382">
        <f t="shared" si="180"/>
        <v>0</v>
      </c>
      <c r="Z306" s="343">
        <f t="shared" si="181"/>
        <v>0</v>
      </c>
      <c r="AA306" s="343">
        <f t="shared" si="182"/>
        <v>0</v>
      </c>
      <c r="AB306" s="343">
        <f t="shared" si="183"/>
        <v>0</v>
      </c>
      <c r="AC306" s="383">
        <f t="shared" si="184"/>
        <v>0</v>
      </c>
      <c r="AD306" s="344">
        <f t="shared" si="185"/>
        <v>0</v>
      </c>
      <c r="AE306" s="344">
        <f t="shared" si="186"/>
        <v>0</v>
      </c>
      <c r="AF306" s="344">
        <f t="shared" si="187"/>
        <v>0</v>
      </c>
      <c r="AG306" s="345">
        <f t="shared" si="188"/>
        <v>0</v>
      </c>
      <c r="AH306" s="345">
        <f t="shared" si="189"/>
        <v>0</v>
      </c>
      <c r="AI306" s="345">
        <f t="shared" si="190"/>
        <v>0</v>
      </c>
      <c r="AJ306" s="306">
        <f t="shared" si="191"/>
        <v>0</v>
      </c>
      <c r="AK306" s="306">
        <f t="shared" si="192"/>
        <v>0</v>
      </c>
      <c r="AL306" s="306">
        <f t="shared" si="193"/>
        <v>0</v>
      </c>
      <c r="AM306" s="749"/>
      <c r="AN306" s="763"/>
      <c r="AO306" s="780"/>
      <c r="AP306" s="896"/>
      <c r="AQ306" s="896"/>
      <c r="AR306" s="896"/>
      <c r="AS306" s="780"/>
      <c r="AT306" s="780"/>
      <c r="AU306" s="780"/>
      <c r="AV306" s="780"/>
      <c r="AW306" s="780"/>
      <c r="AX306" s="780"/>
      <c r="AY306" s="780"/>
      <c r="AZ306" s="780"/>
      <c r="BA306" s="780"/>
    </row>
    <row r="307" spans="1:53" x14ac:dyDescent="0.2">
      <c r="A307" s="346"/>
      <c r="B307" s="347"/>
      <c r="C307" s="358"/>
      <c r="D307" s="366"/>
      <c r="E307" s="366"/>
      <c r="F307" s="339"/>
      <c r="G307" s="1211">
        <f t="shared" si="173"/>
        <v>0</v>
      </c>
      <c r="H307" s="339"/>
      <c r="I307" s="339"/>
      <c r="J307" s="339"/>
      <c r="K307" s="339"/>
      <c r="L307" s="339"/>
      <c r="M307" s="339"/>
      <c r="N307" s="339"/>
      <c r="O307" s="339"/>
      <c r="P307" s="339"/>
      <c r="Q307" s="339"/>
      <c r="R307" s="1236">
        <f t="shared" si="174"/>
        <v>0</v>
      </c>
      <c r="S307" s="1237">
        <f t="shared" si="175"/>
        <v>0</v>
      </c>
      <c r="T307" s="341"/>
      <c r="U307" s="381">
        <f t="shared" si="176"/>
        <v>0</v>
      </c>
      <c r="V307" s="342">
        <f t="shared" si="177"/>
        <v>0</v>
      </c>
      <c r="W307" s="342">
        <f t="shared" si="178"/>
        <v>0</v>
      </c>
      <c r="X307" s="342">
        <f t="shared" si="179"/>
        <v>0</v>
      </c>
      <c r="Y307" s="382">
        <f t="shared" si="180"/>
        <v>0</v>
      </c>
      <c r="Z307" s="343">
        <f t="shared" si="181"/>
        <v>0</v>
      </c>
      <c r="AA307" s="343">
        <f t="shared" si="182"/>
        <v>0</v>
      </c>
      <c r="AB307" s="343">
        <f t="shared" si="183"/>
        <v>0</v>
      </c>
      <c r="AC307" s="383">
        <f t="shared" si="184"/>
        <v>0</v>
      </c>
      <c r="AD307" s="344">
        <f t="shared" si="185"/>
        <v>0</v>
      </c>
      <c r="AE307" s="344">
        <f t="shared" si="186"/>
        <v>0</v>
      </c>
      <c r="AF307" s="344">
        <f t="shared" si="187"/>
        <v>0</v>
      </c>
      <c r="AG307" s="345">
        <f t="shared" si="188"/>
        <v>0</v>
      </c>
      <c r="AH307" s="345">
        <f t="shared" si="189"/>
        <v>0</v>
      </c>
      <c r="AI307" s="345">
        <f t="shared" si="190"/>
        <v>0</v>
      </c>
      <c r="AJ307" s="306">
        <f t="shared" si="191"/>
        <v>0</v>
      </c>
      <c r="AK307" s="306">
        <f t="shared" si="192"/>
        <v>0</v>
      </c>
      <c r="AL307" s="306">
        <f t="shared" si="193"/>
        <v>0</v>
      </c>
      <c r="AM307" s="749"/>
      <c r="AN307" s="763"/>
      <c r="AO307" s="780"/>
      <c r="AP307" s="896"/>
      <c r="AQ307" s="896"/>
      <c r="AR307" s="896"/>
      <c r="AS307" s="780"/>
      <c r="AT307" s="780"/>
      <c r="AU307" s="780"/>
      <c r="AV307" s="780"/>
      <c r="AW307" s="780"/>
      <c r="AX307" s="780"/>
      <c r="AY307" s="780"/>
      <c r="AZ307" s="780"/>
      <c r="BA307" s="780"/>
    </row>
    <row r="308" spans="1:53" x14ac:dyDescent="0.2">
      <c r="A308" s="346"/>
      <c r="B308" s="347"/>
      <c r="C308" s="358"/>
      <c r="D308" s="366"/>
      <c r="E308" s="366"/>
      <c r="F308" s="339"/>
      <c r="G308" s="1211">
        <f t="shared" si="173"/>
        <v>0</v>
      </c>
      <c r="H308" s="339"/>
      <c r="I308" s="339"/>
      <c r="J308" s="339"/>
      <c r="K308" s="339"/>
      <c r="L308" s="339"/>
      <c r="M308" s="339"/>
      <c r="N308" s="339"/>
      <c r="O308" s="339"/>
      <c r="P308" s="339"/>
      <c r="Q308" s="339"/>
      <c r="R308" s="1236">
        <f t="shared" si="174"/>
        <v>0</v>
      </c>
      <c r="S308" s="1237">
        <f t="shared" si="175"/>
        <v>0</v>
      </c>
      <c r="T308" s="341"/>
      <c r="U308" s="381">
        <f t="shared" si="176"/>
        <v>0</v>
      </c>
      <c r="V308" s="342">
        <f t="shared" si="177"/>
        <v>0</v>
      </c>
      <c r="W308" s="342">
        <f t="shared" si="178"/>
        <v>0</v>
      </c>
      <c r="X308" s="342">
        <f t="shared" si="179"/>
        <v>0</v>
      </c>
      <c r="Y308" s="382">
        <f t="shared" si="180"/>
        <v>0</v>
      </c>
      <c r="Z308" s="343">
        <f t="shared" si="181"/>
        <v>0</v>
      </c>
      <c r="AA308" s="343">
        <f t="shared" si="182"/>
        <v>0</v>
      </c>
      <c r="AB308" s="343">
        <f t="shared" si="183"/>
        <v>0</v>
      </c>
      <c r="AC308" s="383">
        <f t="shared" si="184"/>
        <v>0</v>
      </c>
      <c r="AD308" s="344">
        <f t="shared" si="185"/>
        <v>0</v>
      </c>
      <c r="AE308" s="344">
        <f t="shared" si="186"/>
        <v>0</v>
      </c>
      <c r="AF308" s="344">
        <f t="shared" si="187"/>
        <v>0</v>
      </c>
      <c r="AG308" s="345">
        <f t="shared" si="188"/>
        <v>0</v>
      </c>
      <c r="AH308" s="345">
        <f t="shared" si="189"/>
        <v>0</v>
      </c>
      <c r="AI308" s="345">
        <f t="shared" si="190"/>
        <v>0</v>
      </c>
      <c r="AJ308" s="306">
        <f t="shared" si="191"/>
        <v>0</v>
      </c>
      <c r="AK308" s="306">
        <f t="shared" si="192"/>
        <v>0</v>
      </c>
      <c r="AL308" s="306">
        <f t="shared" si="193"/>
        <v>0</v>
      </c>
      <c r="AM308" s="749"/>
      <c r="AN308" s="763"/>
      <c r="AO308" s="780"/>
      <c r="AP308" s="896"/>
      <c r="AQ308" s="896"/>
      <c r="AR308" s="896"/>
      <c r="AS308" s="780"/>
      <c r="AT308" s="780"/>
      <c r="AU308" s="780"/>
      <c r="AV308" s="780"/>
      <c r="AW308" s="780"/>
      <c r="AX308" s="780"/>
      <c r="AY308" s="780"/>
      <c r="AZ308" s="780"/>
      <c r="BA308" s="780"/>
    </row>
    <row r="309" spans="1:53" x14ac:dyDescent="0.2">
      <c r="A309" s="346"/>
      <c r="B309" s="347"/>
      <c r="C309" s="358"/>
      <c r="D309" s="366"/>
      <c r="E309" s="366"/>
      <c r="F309" s="339"/>
      <c r="G309" s="1211">
        <f t="shared" si="173"/>
        <v>0</v>
      </c>
      <c r="H309" s="339"/>
      <c r="I309" s="339"/>
      <c r="J309" s="339"/>
      <c r="K309" s="339"/>
      <c r="L309" s="339"/>
      <c r="M309" s="339"/>
      <c r="N309" s="339"/>
      <c r="O309" s="339"/>
      <c r="P309" s="339"/>
      <c r="Q309" s="339"/>
      <c r="R309" s="1236">
        <f t="shared" si="174"/>
        <v>0</v>
      </c>
      <c r="S309" s="1237">
        <f t="shared" si="175"/>
        <v>0</v>
      </c>
      <c r="T309" s="341"/>
      <c r="U309" s="381">
        <f t="shared" si="176"/>
        <v>0</v>
      </c>
      <c r="V309" s="342">
        <f t="shared" si="177"/>
        <v>0</v>
      </c>
      <c r="W309" s="342">
        <f t="shared" si="178"/>
        <v>0</v>
      </c>
      <c r="X309" s="342">
        <f t="shared" si="179"/>
        <v>0</v>
      </c>
      <c r="Y309" s="382">
        <f t="shared" si="180"/>
        <v>0</v>
      </c>
      <c r="Z309" s="343">
        <f t="shared" si="181"/>
        <v>0</v>
      </c>
      <c r="AA309" s="343">
        <f t="shared" si="182"/>
        <v>0</v>
      </c>
      <c r="AB309" s="343">
        <f t="shared" si="183"/>
        <v>0</v>
      </c>
      <c r="AC309" s="383">
        <f t="shared" si="184"/>
        <v>0</v>
      </c>
      <c r="AD309" s="344">
        <f t="shared" si="185"/>
        <v>0</v>
      </c>
      <c r="AE309" s="344">
        <f t="shared" si="186"/>
        <v>0</v>
      </c>
      <c r="AF309" s="344">
        <f t="shared" si="187"/>
        <v>0</v>
      </c>
      <c r="AG309" s="345">
        <f t="shared" si="188"/>
        <v>0</v>
      </c>
      <c r="AH309" s="345">
        <f t="shared" si="189"/>
        <v>0</v>
      </c>
      <c r="AI309" s="345">
        <f t="shared" si="190"/>
        <v>0</v>
      </c>
      <c r="AJ309" s="306">
        <f t="shared" si="191"/>
        <v>0</v>
      </c>
      <c r="AK309" s="306">
        <f t="shared" si="192"/>
        <v>0</v>
      </c>
      <c r="AL309" s="306">
        <f t="shared" si="193"/>
        <v>0</v>
      </c>
      <c r="AM309" s="749"/>
      <c r="AN309" s="763"/>
      <c r="AO309" s="780"/>
      <c r="AP309" s="896"/>
      <c r="AQ309" s="896"/>
      <c r="AR309" s="896"/>
      <c r="AS309" s="780"/>
      <c r="AT309" s="780"/>
      <c r="AU309" s="780"/>
      <c r="AV309" s="780"/>
      <c r="AW309" s="780"/>
      <c r="AX309" s="780"/>
      <c r="AY309" s="780"/>
      <c r="AZ309" s="780"/>
      <c r="BA309" s="780"/>
    </row>
    <row r="310" spans="1:53" x14ac:dyDescent="0.2">
      <c r="A310" s="346"/>
      <c r="B310" s="347"/>
      <c r="C310" s="358"/>
      <c r="D310" s="366"/>
      <c r="E310" s="366"/>
      <c r="F310" s="339"/>
      <c r="G310" s="1211">
        <f t="shared" si="173"/>
        <v>0</v>
      </c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1236">
        <f t="shared" si="174"/>
        <v>0</v>
      </c>
      <c r="S310" s="1237">
        <f t="shared" si="175"/>
        <v>0</v>
      </c>
      <c r="T310" s="341"/>
      <c r="U310" s="381">
        <f t="shared" si="176"/>
        <v>0</v>
      </c>
      <c r="V310" s="342">
        <f t="shared" si="177"/>
        <v>0</v>
      </c>
      <c r="W310" s="342">
        <f t="shared" si="178"/>
        <v>0</v>
      </c>
      <c r="X310" s="342">
        <f t="shared" si="179"/>
        <v>0</v>
      </c>
      <c r="Y310" s="382">
        <f t="shared" si="180"/>
        <v>0</v>
      </c>
      <c r="Z310" s="343">
        <f t="shared" si="181"/>
        <v>0</v>
      </c>
      <c r="AA310" s="343">
        <f t="shared" si="182"/>
        <v>0</v>
      </c>
      <c r="AB310" s="343">
        <f t="shared" si="183"/>
        <v>0</v>
      </c>
      <c r="AC310" s="383">
        <f t="shared" si="184"/>
        <v>0</v>
      </c>
      <c r="AD310" s="344">
        <f t="shared" si="185"/>
        <v>0</v>
      </c>
      <c r="AE310" s="344">
        <f t="shared" si="186"/>
        <v>0</v>
      </c>
      <c r="AF310" s="344">
        <f t="shared" si="187"/>
        <v>0</v>
      </c>
      <c r="AG310" s="345">
        <f t="shared" si="188"/>
        <v>0</v>
      </c>
      <c r="AH310" s="345">
        <f t="shared" si="189"/>
        <v>0</v>
      </c>
      <c r="AI310" s="345">
        <f t="shared" si="190"/>
        <v>0</v>
      </c>
      <c r="AJ310" s="306">
        <f t="shared" si="191"/>
        <v>0</v>
      </c>
      <c r="AK310" s="306">
        <f t="shared" si="192"/>
        <v>0</v>
      </c>
      <c r="AL310" s="306">
        <f t="shared" si="193"/>
        <v>0</v>
      </c>
      <c r="AM310" s="749"/>
      <c r="AN310" s="763"/>
      <c r="AO310" s="780"/>
      <c r="AP310" s="896"/>
      <c r="AQ310" s="896"/>
      <c r="AR310" s="896"/>
      <c r="AS310" s="780"/>
      <c r="AT310" s="780"/>
      <c r="AU310" s="780"/>
      <c r="AV310" s="780"/>
      <c r="AW310" s="780"/>
      <c r="AX310" s="780"/>
      <c r="AY310" s="780"/>
      <c r="AZ310" s="780"/>
      <c r="BA310" s="780"/>
    </row>
    <row r="311" spans="1:53" x14ac:dyDescent="0.2">
      <c r="A311" s="346"/>
      <c r="B311" s="347"/>
      <c r="C311" s="358"/>
      <c r="D311" s="366"/>
      <c r="E311" s="366"/>
      <c r="F311" s="339"/>
      <c r="G311" s="1211">
        <f t="shared" si="173"/>
        <v>0</v>
      </c>
      <c r="H311" s="339"/>
      <c r="I311" s="339"/>
      <c r="J311" s="339"/>
      <c r="K311" s="339"/>
      <c r="L311" s="339"/>
      <c r="M311" s="339"/>
      <c r="N311" s="339"/>
      <c r="O311" s="339"/>
      <c r="P311" s="339"/>
      <c r="Q311" s="339"/>
      <c r="R311" s="1236">
        <f t="shared" si="174"/>
        <v>0</v>
      </c>
      <c r="S311" s="1237">
        <f t="shared" si="175"/>
        <v>0</v>
      </c>
      <c r="T311" s="341"/>
      <c r="U311" s="381">
        <f t="shared" si="176"/>
        <v>0</v>
      </c>
      <c r="V311" s="342">
        <f t="shared" si="177"/>
        <v>0</v>
      </c>
      <c r="W311" s="342">
        <f t="shared" si="178"/>
        <v>0</v>
      </c>
      <c r="X311" s="342">
        <f t="shared" si="179"/>
        <v>0</v>
      </c>
      <c r="Y311" s="382">
        <f t="shared" si="180"/>
        <v>0</v>
      </c>
      <c r="Z311" s="343">
        <f t="shared" si="181"/>
        <v>0</v>
      </c>
      <c r="AA311" s="343">
        <f t="shared" si="182"/>
        <v>0</v>
      </c>
      <c r="AB311" s="343">
        <f t="shared" si="183"/>
        <v>0</v>
      </c>
      <c r="AC311" s="383">
        <f t="shared" si="184"/>
        <v>0</v>
      </c>
      <c r="AD311" s="344">
        <f t="shared" si="185"/>
        <v>0</v>
      </c>
      <c r="AE311" s="344">
        <f t="shared" si="186"/>
        <v>0</v>
      </c>
      <c r="AF311" s="344">
        <f t="shared" si="187"/>
        <v>0</v>
      </c>
      <c r="AG311" s="345">
        <f t="shared" si="188"/>
        <v>0</v>
      </c>
      <c r="AH311" s="345">
        <f t="shared" si="189"/>
        <v>0</v>
      </c>
      <c r="AI311" s="345">
        <f t="shared" si="190"/>
        <v>0</v>
      </c>
      <c r="AJ311" s="306">
        <f t="shared" si="191"/>
        <v>0</v>
      </c>
      <c r="AK311" s="306">
        <f t="shared" si="192"/>
        <v>0</v>
      </c>
      <c r="AL311" s="306">
        <f t="shared" si="193"/>
        <v>0</v>
      </c>
      <c r="AM311" s="749"/>
      <c r="AN311" s="763"/>
      <c r="AO311" s="780"/>
      <c r="AP311" s="896"/>
      <c r="AQ311" s="896"/>
      <c r="AR311" s="896"/>
      <c r="AS311" s="780"/>
      <c r="AT311" s="780"/>
      <c r="AU311" s="780"/>
      <c r="AV311" s="780"/>
      <c r="AW311" s="780"/>
      <c r="AX311" s="780"/>
      <c r="AY311" s="780"/>
      <c r="AZ311" s="780"/>
      <c r="BA311" s="780"/>
    </row>
    <row r="312" spans="1:53" x14ac:dyDescent="0.2">
      <c r="A312" s="346"/>
      <c r="B312" s="347"/>
      <c r="C312" s="358"/>
      <c r="D312" s="366"/>
      <c r="E312" s="366"/>
      <c r="F312" s="339"/>
      <c r="G312" s="1211">
        <f t="shared" si="173"/>
        <v>0</v>
      </c>
      <c r="H312" s="339"/>
      <c r="I312" s="339"/>
      <c r="J312" s="339"/>
      <c r="K312" s="339"/>
      <c r="L312" s="339"/>
      <c r="M312" s="339"/>
      <c r="N312" s="339"/>
      <c r="O312" s="339"/>
      <c r="P312" s="339"/>
      <c r="Q312" s="339"/>
      <c r="R312" s="1236">
        <f t="shared" si="174"/>
        <v>0</v>
      </c>
      <c r="S312" s="1237">
        <f t="shared" si="175"/>
        <v>0</v>
      </c>
      <c r="T312" s="341"/>
      <c r="U312" s="381">
        <f t="shared" si="176"/>
        <v>0</v>
      </c>
      <c r="V312" s="342">
        <f t="shared" si="177"/>
        <v>0</v>
      </c>
      <c r="W312" s="342">
        <f t="shared" si="178"/>
        <v>0</v>
      </c>
      <c r="X312" s="342">
        <f t="shared" si="179"/>
        <v>0</v>
      </c>
      <c r="Y312" s="382">
        <f t="shared" si="180"/>
        <v>0</v>
      </c>
      <c r="Z312" s="343">
        <f t="shared" si="181"/>
        <v>0</v>
      </c>
      <c r="AA312" s="343">
        <f t="shared" si="182"/>
        <v>0</v>
      </c>
      <c r="AB312" s="343">
        <f t="shared" si="183"/>
        <v>0</v>
      </c>
      <c r="AC312" s="383">
        <f t="shared" si="184"/>
        <v>0</v>
      </c>
      <c r="AD312" s="344">
        <f t="shared" si="185"/>
        <v>0</v>
      </c>
      <c r="AE312" s="344">
        <f t="shared" si="186"/>
        <v>0</v>
      </c>
      <c r="AF312" s="344">
        <f t="shared" si="187"/>
        <v>0</v>
      </c>
      <c r="AG312" s="345">
        <f t="shared" si="188"/>
        <v>0</v>
      </c>
      <c r="AH312" s="345">
        <f t="shared" si="189"/>
        <v>0</v>
      </c>
      <c r="AI312" s="345">
        <f t="shared" si="190"/>
        <v>0</v>
      </c>
      <c r="AJ312" s="306">
        <f t="shared" si="191"/>
        <v>0</v>
      </c>
      <c r="AK312" s="306">
        <f t="shared" si="192"/>
        <v>0</v>
      </c>
      <c r="AL312" s="306">
        <f t="shared" si="193"/>
        <v>0</v>
      </c>
      <c r="AM312" s="749"/>
      <c r="AN312" s="763"/>
      <c r="AO312" s="780"/>
      <c r="AP312" s="896"/>
      <c r="AQ312" s="896"/>
      <c r="AR312" s="896"/>
      <c r="AS312" s="780"/>
      <c r="AT312" s="780"/>
      <c r="AU312" s="780"/>
      <c r="AV312" s="780"/>
      <c r="AW312" s="780"/>
      <c r="AX312" s="780"/>
      <c r="AY312" s="780"/>
      <c r="AZ312" s="780"/>
      <c r="BA312" s="780"/>
    </row>
    <row r="313" spans="1:53" x14ac:dyDescent="0.2">
      <c r="A313" s="346"/>
      <c r="B313" s="347"/>
      <c r="C313" s="358"/>
      <c r="D313" s="366"/>
      <c r="E313" s="366"/>
      <c r="F313" s="339"/>
      <c r="G313" s="1211">
        <f t="shared" si="173"/>
        <v>0</v>
      </c>
      <c r="H313" s="339"/>
      <c r="I313" s="339"/>
      <c r="J313" s="339"/>
      <c r="K313" s="339"/>
      <c r="L313" s="339"/>
      <c r="M313" s="339"/>
      <c r="N313" s="339"/>
      <c r="O313" s="339"/>
      <c r="P313" s="339"/>
      <c r="Q313" s="339"/>
      <c r="R313" s="1236">
        <f t="shared" si="174"/>
        <v>0</v>
      </c>
      <c r="S313" s="1237">
        <f t="shared" si="175"/>
        <v>0</v>
      </c>
      <c r="T313" s="341"/>
      <c r="U313" s="381">
        <f t="shared" si="176"/>
        <v>0</v>
      </c>
      <c r="V313" s="342">
        <f t="shared" si="177"/>
        <v>0</v>
      </c>
      <c r="W313" s="342">
        <f t="shared" si="178"/>
        <v>0</v>
      </c>
      <c r="X313" s="342">
        <f t="shared" si="179"/>
        <v>0</v>
      </c>
      <c r="Y313" s="382">
        <f t="shared" si="180"/>
        <v>0</v>
      </c>
      <c r="Z313" s="343">
        <f t="shared" si="181"/>
        <v>0</v>
      </c>
      <c r="AA313" s="343">
        <f t="shared" si="182"/>
        <v>0</v>
      </c>
      <c r="AB313" s="343">
        <f t="shared" si="183"/>
        <v>0</v>
      </c>
      <c r="AC313" s="383">
        <f t="shared" si="184"/>
        <v>0</v>
      </c>
      <c r="AD313" s="344">
        <f t="shared" si="185"/>
        <v>0</v>
      </c>
      <c r="AE313" s="344">
        <f t="shared" si="186"/>
        <v>0</v>
      </c>
      <c r="AF313" s="344">
        <f t="shared" si="187"/>
        <v>0</v>
      </c>
      <c r="AG313" s="345">
        <f t="shared" si="188"/>
        <v>0</v>
      </c>
      <c r="AH313" s="345">
        <f t="shared" si="189"/>
        <v>0</v>
      </c>
      <c r="AI313" s="345">
        <f t="shared" si="190"/>
        <v>0</v>
      </c>
      <c r="AJ313" s="306">
        <f t="shared" si="191"/>
        <v>0</v>
      </c>
      <c r="AK313" s="306">
        <f t="shared" si="192"/>
        <v>0</v>
      </c>
      <c r="AL313" s="306">
        <f t="shared" si="193"/>
        <v>0</v>
      </c>
      <c r="AM313" s="749"/>
      <c r="AN313" s="763"/>
      <c r="AO313" s="780"/>
      <c r="AP313" s="896"/>
      <c r="AQ313" s="896"/>
      <c r="AR313" s="896"/>
      <c r="AS313" s="780"/>
      <c r="AT313" s="780"/>
      <c r="AU313" s="780"/>
      <c r="AV313" s="780"/>
      <c r="AW313" s="780"/>
      <c r="AX313" s="780"/>
      <c r="AY313" s="780"/>
      <c r="AZ313" s="780"/>
      <c r="BA313" s="780"/>
    </row>
    <row r="314" spans="1:53" x14ac:dyDescent="0.2">
      <c r="A314" s="346"/>
      <c r="B314" s="347"/>
      <c r="C314" s="358"/>
      <c r="D314" s="366"/>
      <c r="E314" s="366"/>
      <c r="F314" s="339"/>
      <c r="G314" s="1211">
        <f t="shared" si="173"/>
        <v>0</v>
      </c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1236">
        <f t="shared" si="174"/>
        <v>0</v>
      </c>
      <c r="S314" s="1237">
        <f t="shared" si="175"/>
        <v>0</v>
      </c>
      <c r="T314" s="341"/>
      <c r="U314" s="381">
        <f t="shared" si="176"/>
        <v>0</v>
      </c>
      <c r="V314" s="342">
        <f t="shared" si="177"/>
        <v>0</v>
      </c>
      <c r="W314" s="342">
        <f t="shared" si="178"/>
        <v>0</v>
      </c>
      <c r="X314" s="342">
        <f t="shared" si="179"/>
        <v>0</v>
      </c>
      <c r="Y314" s="382">
        <f t="shared" si="180"/>
        <v>0</v>
      </c>
      <c r="Z314" s="343">
        <f t="shared" si="181"/>
        <v>0</v>
      </c>
      <c r="AA314" s="343">
        <f t="shared" si="182"/>
        <v>0</v>
      </c>
      <c r="AB314" s="343">
        <f t="shared" si="183"/>
        <v>0</v>
      </c>
      <c r="AC314" s="383">
        <f t="shared" si="184"/>
        <v>0</v>
      </c>
      <c r="AD314" s="344">
        <f t="shared" si="185"/>
        <v>0</v>
      </c>
      <c r="AE314" s="344">
        <f t="shared" si="186"/>
        <v>0</v>
      </c>
      <c r="AF314" s="344">
        <f t="shared" si="187"/>
        <v>0</v>
      </c>
      <c r="AG314" s="345">
        <f t="shared" si="188"/>
        <v>0</v>
      </c>
      <c r="AH314" s="345">
        <f t="shared" si="189"/>
        <v>0</v>
      </c>
      <c r="AI314" s="345">
        <f t="shared" si="190"/>
        <v>0</v>
      </c>
      <c r="AJ314" s="306">
        <f t="shared" si="191"/>
        <v>0</v>
      </c>
      <c r="AK314" s="306">
        <f t="shared" si="192"/>
        <v>0</v>
      </c>
      <c r="AL314" s="306">
        <f t="shared" si="193"/>
        <v>0</v>
      </c>
      <c r="AM314" s="749"/>
      <c r="AN314" s="763"/>
      <c r="AO314" s="780"/>
      <c r="AP314" s="896"/>
      <c r="AQ314" s="896"/>
      <c r="AR314" s="896"/>
      <c r="AS314" s="780"/>
      <c r="AT314" s="780"/>
      <c r="AU314" s="780"/>
      <c r="AV314" s="780"/>
      <c r="AW314" s="780"/>
      <c r="AX314" s="780"/>
      <c r="AY314" s="780"/>
      <c r="AZ314" s="780"/>
      <c r="BA314" s="780"/>
    </row>
    <row r="315" spans="1:53" x14ac:dyDescent="0.2">
      <c r="A315" s="346"/>
      <c r="B315" s="347"/>
      <c r="C315" s="358"/>
      <c r="D315" s="366"/>
      <c r="E315" s="366"/>
      <c r="F315" s="339"/>
      <c r="G315" s="1211">
        <f t="shared" si="173"/>
        <v>0</v>
      </c>
      <c r="H315" s="339"/>
      <c r="I315" s="339"/>
      <c r="J315" s="339"/>
      <c r="K315" s="339"/>
      <c r="L315" s="339"/>
      <c r="M315" s="339"/>
      <c r="N315" s="339"/>
      <c r="O315" s="339"/>
      <c r="P315" s="339"/>
      <c r="Q315" s="339"/>
      <c r="R315" s="1236">
        <f t="shared" si="174"/>
        <v>0</v>
      </c>
      <c r="S315" s="1237">
        <f t="shared" si="175"/>
        <v>0</v>
      </c>
      <c r="T315" s="341"/>
      <c r="U315" s="381">
        <f t="shared" si="176"/>
        <v>0</v>
      </c>
      <c r="V315" s="342">
        <f t="shared" si="177"/>
        <v>0</v>
      </c>
      <c r="W315" s="342">
        <f t="shared" si="178"/>
        <v>0</v>
      </c>
      <c r="X315" s="342">
        <f t="shared" si="179"/>
        <v>0</v>
      </c>
      <c r="Y315" s="382">
        <f t="shared" si="180"/>
        <v>0</v>
      </c>
      <c r="Z315" s="343">
        <f t="shared" si="181"/>
        <v>0</v>
      </c>
      <c r="AA315" s="343">
        <f t="shared" si="182"/>
        <v>0</v>
      </c>
      <c r="AB315" s="343">
        <f t="shared" si="183"/>
        <v>0</v>
      </c>
      <c r="AC315" s="383">
        <f t="shared" si="184"/>
        <v>0</v>
      </c>
      <c r="AD315" s="344">
        <f t="shared" si="185"/>
        <v>0</v>
      </c>
      <c r="AE315" s="344">
        <f t="shared" si="186"/>
        <v>0</v>
      </c>
      <c r="AF315" s="344">
        <f t="shared" si="187"/>
        <v>0</v>
      </c>
      <c r="AG315" s="345">
        <f t="shared" si="188"/>
        <v>0</v>
      </c>
      <c r="AH315" s="345">
        <f t="shared" si="189"/>
        <v>0</v>
      </c>
      <c r="AI315" s="345">
        <f t="shared" si="190"/>
        <v>0</v>
      </c>
      <c r="AJ315" s="306">
        <f t="shared" si="191"/>
        <v>0</v>
      </c>
      <c r="AK315" s="306">
        <f t="shared" si="192"/>
        <v>0</v>
      </c>
      <c r="AL315" s="306">
        <f t="shared" si="193"/>
        <v>0</v>
      </c>
      <c r="AM315" s="749"/>
      <c r="AN315" s="763"/>
      <c r="AO315" s="780"/>
      <c r="AP315" s="896"/>
      <c r="AQ315" s="896"/>
      <c r="AR315" s="896"/>
      <c r="AS315" s="780"/>
      <c r="AT315" s="780"/>
      <c r="AU315" s="780"/>
      <c r="AV315" s="780"/>
      <c r="AW315" s="780"/>
      <c r="AX315" s="780"/>
      <c r="AY315" s="780"/>
      <c r="AZ315" s="780"/>
      <c r="BA315" s="780"/>
    </row>
    <row r="316" spans="1:53" x14ac:dyDescent="0.2">
      <c r="A316" s="346"/>
      <c r="B316" s="347"/>
      <c r="C316" s="358"/>
      <c r="D316" s="366"/>
      <c r="E316" s="366"/>
      <c r="F316" s="339"/>
      <c r="G316" s="1211">
        <f t="shared" si="173"/>
        <v>0</v>
      </c>
      <c r="H316" s="339"/>
      <c r="I316" s="339"/>
      <c r="J316" s="339"/>
      <c r="K316" s="339"/>
      <c r="L316" s="339"/>
      <c r="M316" s="339"/>
      <c r="N316" s="339"/>
      <c r="O316" s="339"/>
      <c r="P316" s="339"/>
      <c r="Q316" s="339"/>
      <c r="R316" s="1236">
        <f t="shared" si="174"/>
        <v>0</v>
      </c>
      <c r="S316" s="1237">
        <f t="shared" si="175"/>
        <v>0</v>
      </c>
      <c r="T316" s="341"/>
      <c r="U316" s="381">
        <f t="shared" si="176"/>
        <v>0</v>
      </c>
      <c r="V316" s="342">
        <f t="shared" si="177"/>
        <v>0</v>
      </c>
      <c r="W316" s="342">
        <f t="shared" si="178"/>
        <v>0</v>
      </c>
      <c r="X316" s="342">
        <f t="shared" si="179"/>
        <v>0</v>
      </c>
      <c r="Y316" s="382">
        <f t="shared" si="180"/>
        <v>0</v>
      </c>
      <c r="Z316" s="343">
        <f t="shared" si="181"/>
        <v>0</v>
      </c>
      <c r="AA316" s="343">
        <f t="shared" si="182"/>
        <v>0</v>
      </c>
      <c r="AB316" s="343">
        <f t="shared" si="183"/>
        <v>0</v>
      </c>
      <c r="AC316" s="383">
        <f t="shared" si="184"/>
        <v>0</v>
      </c>
      <c r="AD316" s="344">
        <f t="shared" si="185"/>
        <v>0</v>
      </c>
      <c r="AE316" s="344">
        <f t="shared" si="186"/>
        <v>0</v>
      </c>
      <c r="AF316" s="344">
        <f t="shared" si="187"/>
        <v>0</v>
      </c>
      <c r="AG316" s="345">
        <f t="shared" si="188"/>
        <v>0</v>
      </c>
      <c r="AH316" s="345">
        <f t="shared" si="189"/>
        <v>0</v>
      </c>
      <c r="AI316" s="345">
        <f t="shared" si="190"/>
        <v>0</v>
      </c>
      <c r="AJ316" s="306">
        <f t="shared" si="191"/>
        <v>0</v>
      </c>
      <c r="AK316" s="306">
        <f t="shared" si="192"/>
        <v>0</v>
      </c>
      <c r="AL316" s="306">
        <f t="shared" si="193"/>
        <v>0</v>
      </c>
      <c r="AM316" s="749"/>
      <c r="AN316" s="763"/>
      <c r="AO316" s="780"/>
      <c r="AP316" s="896"/>
      <c r="AQ316" s="896"/>
      <c r="AR316" s="896"/>
      <c r="AS316" s="780"/>
      <c r="AT316" s="780"/>
      <c r="AU316" s="780"/>
      <c r="AV316" s="780"/>
      <c r="AW316" s="780"/>
      <c r="AX316" s="780"/>
      <c r="AY316" s="780"/>
      <c r="AZ316" s="780"/>
      <c r="BA316" s="780"/>
    </row>
    <row r="317" spans="1:53" x14ac:dyDescent="0.2">
      <c r="A317" s="346"/>
      <c r="B317" s="347"/>
      <c r="C317" s="358"/>
      <c r="D317" s="366"/>
      <c r="E317" s="366"/>
      <c r="F317" s="339"/>
      <c r="G317" s="1211">
        <f t="shared" si="173"/>
        <v>0</v>
      </c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1236">
        <f t="shared" si="174"/>
        <v>0</v>
      </c>
      <c r="S317" s="1237">
        <f t="shared" si="175"/>
        <v>0</v>
      </c>
      <c r="T317" s="341"/>
      <c r="U317" s="381">
        <f t="shared" si="176"/>
        <v>0</v>
      </c>
      <c r="V317" s="342">
        <f t="shared" si="177"/>
        <v>0</v>
      </c>
      <c r="W317" s="342">
        <f t="shared" si="178"/>
        <v>0</v>
      </c>
      <c r="X317" s="342">
        <f t="shared" si="179"/>
        <v>0</v>
      </c>
      <c r="Y317" s="382">
        <f t="shared" si="180"/>
        <v>0</v>
      </c>
      <c r="Z317" s="343">
        <f t="shared" si="181"/>
        <v>0</v>
      </c>
      <c r="AA317" s="343">
        <f t="shared" si="182"/>
        <v>0</v>
      </c>
      <c r="AB317" s="343">
        <f t="shared" si="183"/>
        <v>0</v>
      </c>
      <c r="AC317" s="383">
        <f t="shared" si="184"/>
        <v>0</v>
      </c>
      <c r="AD317" s="344">
        <f t="shared" si="185"/>
        <v>0</v>
      </c>
      <c r="AE317" s="344">
        <f t="shared" si="186"/>
        <v>0</v>
      </c>
      <c r="AF317" s="344">
        <f t="shared" si="187"/>
        <v>0</v>
      </c>
      <c r="AG317" s="345">
        <f t="shared" si="188"/>
        <v>0</v>
      </c>
      <c r="AH317" s="345">
        <f t="shared" si="189"/>
        <v>0</v>
      </c>
      <c r="AI317" s="345">
        <f t="shared" si="190"/>
        <v>0</v>
      </c>
      <c r="AJ317" s="306">
        <f t="shared" si="191"/>
        <v>0</v>
      </c>
      <c r="AK317" s="306">
        <f t="shared" si="192"/>
        <v>0</v>
      </c>
      <c r="AL317" s="306">
        <f t="shared" si="193"/>
        <v>0</v>
      </c>
      <c r="AM317" s="749"/>
      <c r="AN317" s="763"/>
      <c r="AO317" s="780"/>
      <c r="AP317" s="896"/>
      <c r="AQ317" s="896"/>
      <c r="AR317" s="896"/>
      <c r="AS317" s="780"/>
      <c r="AT317" s="780"/>
      <c r="AU317" s="780"/>
      <c r="AV317" s="780"/>
      <c r="AW317" s="780"/>
      <c r="AX317" s="780"/>
      <c r="AY317" s="780"/>
      <c r="AZ317" s="780"/>
      <c r="BA317" s="780"/>
    </row>
    <row r="318" spans="1:53" x14ac:dyDescent="0.2">
      <c r="A318" s="346"/>
      <c r="B318" s="347"/>
      <c r="C318" s="358"/>
      <c r="D318" s="366"/>
      <c r="E318" s="366"/>
      <c r="F318" s="339"/>
      <c r="G318" s="1211">
        <f t="shared" si="173"/>
        <v>0</v>
      </c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1236">
        <f t="shared" si="174"/>
        <v>0</v>
      </c>
      <c r="S318" s="1237">
        <f t="shared" si="175"/>
        <v>0</v>
      </c>
      <c r="T318" s="341"/>
      <c r="U318" s="381">
        <f t="shared" si="176"/>
        <v>0</v>
      </c>
      <c r="V318" s="342">
        <f t="shared" si="177"/>
        <v>0</v>
      </c>
      <c r="W318" s="342">
        <f t="shared" si="178"/>
        <v>0</v>
      </c>
      <c r="X318" s="342">
        <f t="shared" si="179"/>
        <v>0</v>
      </c>
      <c r="Y318" s="382">
        <f t="shared" si="180"/>
        <v>0</v>
      </c>
      <c r="Z318" s="343">
        <f t="shared" si="181"/>
        <v>0</v>
      </c>
      <c r="AA318" s="343">
        <f t="shared" si="182"/>
        <v>0</v>
      </c>
      <c r="AB318" s="343">
        <f t="shared" si="183"/>
        <v>0</v>
      </c>
      <c r="AC318" s="383">
        <f t="shared" si="184"/>
        <v>0</v>
      </c>
      <c r="AD318" s="344">
        <f t="shared" si="185"/>
        <v>0</v>
      </c>
      <c r="AE318" s="344">
        <f t="shared" si="186"/>
        <v>0</v>
      </c>
      <c r="AF318" s="344">
        <f t="shared" si="187"/>
        <v>0</v>
      </c>
      <c r="AG318" s="345">
        <f t="shared" si="188"/>
        <v>0</v>
      </c>
      <c r="AH318" s="345">
        <f t="shared" si="189"/>
        <v>0</v>
      </c>
      <c r="AI318" s="345">
        <f t="shared" si="190"/>
        <v>0</v>
      </c>
      <c r="AJ318" s="306">
        <f t="shared" si="191"/>
        <v>0</v>
      </c>
      <c r="AK318" s="306">
        <f t="shared" si="192"/>
        <v>0</v>
      </c>
      <c r="AL318" s="306">
        <f t="shared" si="193"/>
        <v>0</v>
      </c>
      <c r="AM318" s="749"/>
      <c r="AN318" s="763"/>
      <c r="AO318" s="780"/>
      <c r="AP318" s="896"/>
      <c r="AQ318" s="896"/>
      <c r="AR318" s="896"/>
      <c r="AS318" s="780"/>
      <c r="AT318" s="780"/>
      <c r="AU318" s="780"/>
      <c r="AV318" s="780"/>
      <c r="AW318" s="780"/>
      <c r="AX318" s="780"/>
      <c r="AY318" s="780"/>
      <c r="AZ318" s="780"/>
      <c r="BA318" s="780"/>
    </row>
    <row r="319" spans="1:53" x14ac:dyDescent="0.2">
      <c r="A319" s="346"/>
      <c r="B319" s="347"/>
      <c r="C319" s="358"/>
      <c r="D319" s="366"/>
      <c r="E319" s="366"/>
      <c r="F319" s="339"/>
      <c r="G319" s="1211">
        <f t="shared" si="173"/>
        <v>0</v>
      </c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1236">
        <f t="shared" si="174"/>
        <v>0</v>
      </c>
      <c r="S319" s="1237">
        <f t="shared" si="175"/>
        <v>0</v>
      </c>
      <c r="T319" s="341"/>
      <c r="U319" s="381">
        <f t="shared" si="176"/>
        <v>0</v>
      </c>
      <c r="V319" s="342">
        <f t="shared" si="177"/>
        <v>0</v>
      </c>
      <c r="W319" s="342">
        <f t="shared" si="178"/>
        <v>0</v>
      </c>
      <c r="X319" s="342">
        <f t="shared" si="179"/>
        <v>0</v>
      </c>
      <c r="Y319" s="382">
        <f t="shared" si="180"/>
        <v>0</v>
      </c>
      <c r="Z319" s="343">
        <f t="shared" si="181"/>
        <v>0</v>
      </c>
      <c r="AA319" s="343">
        <f t="shared" si="182"/>
        <v>0</v>
      </c>
      <c r="AB319" s="343">
        <f t="shared" si="183"/>
        <v>0</v>
      </c>
      <c r="AC319" s="383">
        <f t="shared" si="184"/>
        <v>0</v>
      </c>
      <c r="AD319" s="344">
        <f t="shared" si="185"/>
        <v>0</v>
      </c>
      <c r="AE319" s="344">
        <f t="shared" si="186"/>
        <v>0</v>
      </c>
      <c r="AF319" s="344">
        <f t="shared" si="187"/>
        <v>0</v>
      </c>
      <c r="AG319" s="345">
        <f t="shared" si="188"/>
        <v>0</v>
      </c>
      <c r="AH319" s="345">
        <f t="shared" si="189"/>
        <v>0</v>
      </c>
      <c r="AI319" s="345">
        <f t="shared" si="190"/>
        <v>0</v>
      </c>
      <c r="AJ319" s="306">
        <f t="shared" si="191"/>
        <v>0</v>
      </c>
      <c r="AK319" s="306">
        <f t="shared" si="192"/>
        <v>0</v>
      </c>
      <c r="AL319" s="306">
        <f t="shared" si="193"/>
        <v>0</v>
      </c>
      <c r="AM319" s="749"/>
      <c r="AN319" s="763"/>
      <c r="AO319" s="780"/>
      <c r="AP319" s="896"/>
      <c r="AQ319" s="896"/>
      <c r="AR319" s="896"/>
      <c r="AS319" s="780"/>
      <c r="AT319" s="780"/>
      <c r="AU319" s="780"/>
      <c r="AV319" s="780"/>
      <c r="AW319" s="780"/>
      <c r="AX319" s="780"/>
      <c r="AY319" s="780"/>
      <c r="AZ319" s="780"/>
      <c r="BA319" s="780"/>
    </row>
    <row r="320" spans="1:53" x14ac:dyDescent="0.2">
      <c r="A320" s="346"/>
      <c r="B320" s="347"/>
      <c r="C320" s="358"/>
      <c r="D320" s="366"/>
      <c r="E320" s="366"/>
      <c r="F320" s="339"/>
      <c r="G320" s="1211">
        <f t="shared" si="173"/>
        <v>0</v>
      </c>
      <c r="H320" s="339"/>
      <c r="I320" s="339"/>
      <c r="J320" s="339"/>
      <c r="K320" s="339"/>
      <c r="L320" s="339"/>
      <c r="M320" s="339"/>
      <c r="N320" s="339"/>
      <c r="O320" s="339"/>
      <c r="P320" s="339"/>
      <c r="Q320" s="339"/>
      <c r="R320" s="1236">
        <f t="shared" si="174"/>
        <v>0</v>
      </c>
      <c r="S320" s="1237">
        <f t="shared" si="175"/>
        <v>0</v>
      </c>
      <c r="T320" s="341"/>
      <c r="U320" s="381">
        <f t="shared" si="176"/>
        <v>0</v>
      </c>
      <c r="V320" s="342">
        <f t="shared" si="177"/>
        <v>0</v>
      </c>
      <c r="W320" s="342">
        <f t="shared" si="178"/>
        <v>0</v>
      </c>
      <c r="X320" s="342">
        <f t="shared" si="179"/>
        <v>0</v>
      </c>
      <c r="Y320" s="382">
        <f t="shared" si="180"/>
        <v>0</v>
      </c>
      <c r="Z320" s="343">
        <f t="shared" si="181"/>
        <v>0</v>
      </c>
      <c r="AA320" s="343">
        <f t="shared" si="182"/>
        <v>0</v>
      </c>
      <c r="AB320" s="343">
        <f t="shared" si="183"/>
        <v>0</v>
      </c>
      <c r="AC320" s="383">
        <f t="shared" si="184"/>
        <v>0</v>
      </c>
      <c r="AD320" s="344">
        <f t="shared" si="185"/>
        <v>0</v>
      </c>
      <c r="AE320" s="344">
        <f t="shared" si="186"/>
        <v>0</v>
      </c>
      <c r="AF320" s="344">
        <f t="shared" si="187"/>
        <v>0</v>
      </c>
      <c r="AG320" s="345">
        <f t="shared" si="188"/>
        <v>0</v>
      </c>
      <c r="AH320" s="345">
        <f t="shared" si="189"/>
        <v>0</v>
      </c>
      <c r="AI320" s="345">
        <f t="shared" si="190"/>
        <v>0</v>
      </c>
      <c r="AJ320" s="306">
        <f t="shared" si="191"/>
        <v>0</v>
      </c>
      <c r="AK320" s="306">
        <f t="shared" si="192"/>
        <v>0</v>
      </c>
      <c r="AL320" s="306">
        <f t="shared" si="193"/>
        <v>0</v>
      </c>
      <c r="AM320" s="749"/>
      <c r="AN320" s="763"/>
      <c r="AO320" s="780"/>
      <c r="AP320" s="896"/>
      <c r="AQ320" s="896"/>
      <c r="AR320" s="896"/>
      <c r="AS320" s="780"/>
      <c r="AT320" s="780"/>
      <c r="AU320" s="780"/>
      <c r="AV320" s="780"/>
      <c r="AW320" s="780"/>
      <c r="AX320" s="780"/>
      <c r="AY320" s="780"/>
      <c r="AZ320" s="780"/>
      <c r="BA320" s="780"/>
    </row>
    <row r="321" spans="1:59" x14ac:dyDescent="0.2">
      <c r="A321" s="346"/>
      <c r="B321" s="347"/>
      <c r="C321" s="358"/>
      <c r="D321" s="366"/>
      <c r="E321" s="366"/>
      <c r="F321" s="339"/>
      <c r="G321" s="1211">
        <f t="shared" si="173"/>
        <v>0</v>
      </c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1236">
        <f t="shared" si="174"/>
        <v>0</v>
      </c>
      <c r="S321" s="1237">
        <f t="shared" si="175"/>
        <v>0</v>
      </c>
      <c r="T321" s="341"/>
      <c r="U321" s="381">
        <f t="shared" si="176"/>
        <v>0</v>
      </c>
      <c r="V321" s="342">
        <f t="shared" si="177"/>
        <v>0</v>
      </c>
      <c r="W321" s="342">
        <f t="shared" si="178"/>
        <v>0</v>
      </c>
      <c r="X321" s="342">
        <f t="shared" si="179"/>
        <v>0</v>
      </c>
      <c r="Y321" s="382">
        <f t="shared" si="180"/>
        <v>0</v>
      </c>
      <c r="Z321" s="343">
        <f t="shared" si="181"/>
        <v>0</v>
      </c>
      <c r="AA321" s="343">
        <f t="shared" si="182"/>
        <v>0</v>
      </c>
      <c r="AB321" s="343">
        <f t="shared" si="183"/>
        <v>0</v>
      </c>
      <c r="AC321" s="383">
        <f t="shared" si="184"/>
        <v>0</v>
      </c>
      <c r="AD321" s="344">
        <f t="shared" si="185"/>
        <v>0</v>
      </c>
      <c r="AE321" s="344">
        <f t="shared" si="186"/>
        <v>0</v>
      </c>
      <c r="AF321" s="344">
        <f t="shared" si="187"/>
        <v>0</v>
      </c>
      <c r="AG321" s="345">
        <f t="shared" si="188"/>
        <v>0</v>
      </c>
      <c r="AH321" s="345">
        <f t="shared" si="189"/>
        <v>0</v>
      </c>
      <c r="AI321" s="345">
        <f t="shared" si="190"/>
        <v>0</v>
      </c>
      <c r="AJ321" s="306">
        <f t="shared" si="191"/>
        <v>0</v>
      </c>
      <c r="AK321" s="306">
        <f t="shared" si="192"/>
        <v>0</v>
      </c>
      <c r="AL321" s="306">
        <f t="shared" si="193"/>
        <v>0</v>
      </c>
      <c r="AM321" s="749"/>
      <c r="AN321" s="763"/>
      <c r="AO321" s="780"/>
      <c r="AP321" s="896"/>
      <c r="AQ321" s="896"/>
      <c r="AR321" s="896"/>
      <c r="AS321" s="780"/>
      <c r="AT321" s="780"/>
      <c r="AU321" s="780"/>
      <c r="AV321" s="780"/>
      <c r="AW321" s="780"/>
      <c r="AX321" s="780"/>
      <c r="AY321" s="780"/>
      <c r="AZ321" s="780"/>
      <c r="BA321" s="780"/>
    </row>
    <row r="322" spans="1:59" x14ac:dyDescent="0.2">
      <c r="A322" s="346"/>
      <c r="B322" s="347"/>
      <c r="C322" s="358"/>
      <c r="D322" s="366"/>
      <c r="E322" s="366"/>
      <c r="F322" s="339"/>
      <c r="G322" s="1211">
        <f t="shared" si="173"/>
        <v>0</v>
      </c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1236">
        <f t="shared" si="174"/>
        <v>0</v>
      </c>
      <c r="S322" s="1237">
        <f t="shared" si="175"/>
        <v>0</v>
      </c>
      <c r="T322" s="341"/>
      <c r="U322" s="381">
        <f t="shared" si="176"/>
        <v>0</v>
      </c>
      <c r="V322" s="342">
        <f t="shared" si="177"/>
        <v>0</v>
      </c>
      <c r="W322" s="342">
        <f t="shared" si="178"/>
        <v>0</v>
      </c>
      <c r="X322" s="342">
        <f t="shared" si="179"/>
        <v>0</v>
      </c>
      <c r="Y322" s="382">
        <f t="shared" si="180"/>
        <v>0</v>
      </c>
      <c r="Z322" s="343">
        <f t="shared" si="181"/>
        <v>0</v>
      </c>
      <c r="AA322" s="343">
        <f t="shared" si="182"/>
        <v>0</v>
      </c>
      <c r="AB322" s="343">
        <f t="shared" si="183"/>
        <v>0</v>
      </c>
      <c r="AC322" s="383">
        <f t="shared" si="184"/>
        <v>0</v>
      </c>
      <c r="AD322" s="344">
        <f t="shared" si="185"/>
        <v>0</v>
      </c>
      <c r="AE322" s="344">
        <f t="shared" si="186"/>
        <v>0</v>
      </c>
      <c r="AF322" s="344">
        <f t="shared" si="187"/>
        <v>0</v>
      </c>
      <c r="AG322" s="345">
        <f t="shared" si="188"/>
        <v>0</v>
      </c>
      <c r="AH322" s="345">
        <f t="shared" si="189"/>
        <v>0</v>
      </c>
      <c r="AI322" s="345">
        <f t="shared" si="190"/>
        <v>0</v>
      </c>
      <c r="AJ322" s="306">
        <f t="shared" si="191"/>
        <v>0</v>
      </c>
      <c r="AK322" s="306">
        <f t="shared" si="192"/>
        <v>0</v>
      </c>
      <c r="AL322" s="306">
        <f t="shared" si="193"/>
        <v>0</v>
      </c>
      <c r="AM322" s="749"/>
      <c r="AN322" s="763"/>
      <c r="AO322" s="780"/>
      <c r="AP322" s="896"/>
      <c r="AQ322" s="896"/>
      <c r="AR322" s="896"/>
      <c r="AS322" s="780"/>
      <c r="AT322" s="780"/>
      <c r="AU322" s="780"/>
      <c r="AV322" s="780"/>
      <c r="AW322" s="780"/>
      <c r="AX322" s="780"/>
      <c r="AY322" s="780"/>
      <c r="AZ322" s="780"/>
      <c r="BA322" s="780"/>
    </row>
    <row r="323" spans="1:59" x14ac:dyDescent="0.2">
      <c r="A323" s="346"/>
      <c r="B323" s="347"/>
      <c r="C323" s="358"/>
      <c r="D323" s="366"/>
      <c r="E323" s="366"/>
      <c r="F323" s="339"/>
      <c r="G323" s="1211">
        <f t="shared" si="173"/>
        <v>0</v>
      </c>
      <c r="H323" s="339"/>
      <c r="I323" s="339"/>
      <c r="J323" s="339"/>
      <c r="K323" s="339"/>
      <c r="L323" s="339"/>
      <c r="M323" s="339"/>
      <c r="N323" s="339"/>
      <c r="O323" s="339"/>
      <c r="P323" s="339"/>
      <c r="Q323" s="339"/>
      <c r="R323" s="1236">
        <f t="shared" si="174"/>
        <v>0</v>
      </c>
      <c r="S323" s="1237">
        <f t="shared" si="175"/>
        <v>0</v>
      </c>
      <c r="T323" s="341"/>
      <c r="U323" s="381">
        <f t="shared" si="176"/>
        <v>0</v>
      </c>
      <c r="V323" s="342">
        <f t="shared" si="177"/>
        <v>0</v>
      </c>
      <c r="W323" s="342">
        <f t="shared" si="178"/>
        <v>0</v>
      </c>
      <c r="X323" s="342">
        <f t="shared" si="179"/>
        <v>0</v>
      </c>
      <c r="Y323" s="382">
        <f t="shared" si="180"/>
        <v>0</v>
      </c>
      <c r="Z323" s="343">
        <f t="shared" si="181"/>
        <v>0</v>
      </c>
      <c r="AA323" s="343">
        <f t="shared" si="182"/>
        <v>0</v>
      </c>
      <c r="AB323" s="343">
        <f t="shared" si="183"/>
        <v>0</v>
      </c>
      <c r="AC323" s="383">
        <f t="shared" si="184"/>
        <v>0</v>
      </c>
      <c r="AD323" s="344">
        <f t="shared" si="185"/>
        <v>0</v>
      </c>
      <c r="AE323" s="344">
        <f t="shared" si="186"/>
        <v>0</v>
      </c>
      <c r="AF323" s="344">
        <f t="shared" si="187"/>
        <v>0</v>
      </c>
      <c r="AG323" s="345">
        <f t="shared" si="188"/>
        <v>0</v>
      </c>
      <c r="AH323" s="345">
        <f t="shared" si="189"/>
        <v>0</v>
      </c>
      <c r="AI323" s="345">
        <f t="shared" si="190"/>
        <v>0</v>
      </c>
      <c r="AJ323" s="306">
        <f t="shared" si="191"/>
        <v>0</v>
      </c>
      <c r="AK323" s="306">
        <f t="shared" si="192"/>
        <v>0</v>
      </c>
      <c r="AL323" s="306">
        <f t="shared" si="193"/>
        <v>0</v>
      </c>
      <c r="AM323" s="749"/>
      <c r="AN323" s="763"/>
      <c r="AO323" s="780"/>
      <c r="AP323" s="896"/>
      <c r="AQ323" s="896"/>
      <c r="AR323" s="896"/>
      <c r="AS323" s="780"/>
      <c r="AT323" s="780"/>
      <c r="AU323" s="780"/>
      <c r="AV323" s="780"/>
      <c r="AW323" s="780"/>
      <c r="AX323" s="780"/>
      <c r="AY323" s="780"/>
      <c r="AZ323" s="780"/>
      <c r="BA323" s="780"/>
    </row>
    <row r="324" spans="1:59" x14ac:dyDescent="0.2">
      <c r="A324" s="346"/>
      <c r="B324" s="347"/>
      <c r="C324" s="358"/>
      <c r="D324" s="366"/>
      <c r="E324" s="366"/>
      <c r="F324" s="339"/>
      <c r="G324" s="1211">
        <f t="shared" si="173"/>
        <v>0</v>
      </c>
      <c r="H324" s="339"/>
      <c r="I324" s="339"/>
      <c r="J324" s="339"/>
      <c r="K324" s="339"/>
      <c r="L324" s="339"/>
      <c r="M324" s="339"/>
      <c r="N324" s="339"/>
      <c r="O324" s="339"/>
      <c r="P324" s="339"/>
      <c r="Q324" s="339"/>
      <c r="R324" s="1236">
        <f t="shared" si="174"/>
        <v>0</v>
      </c>
      <c r="S324" s="1237">
        <f t="shared" si="175"/>
        <v>0</v>
      </c>
      <c r="T324" s="341"/>
      <c r="U324" s="381">
        <f t="shared" si="176"/>
        <v>0</v>
      </c>
      <c r="V324" s="342">
        <f t="shared" si="177"/>
        <v>0</v>
      </c>
      <c r="W324" s="342">
        <f t="shared" si="178"/>
        <v>0</v>
      </c>
      <c r="X324" s="342">
        <f t="shared" si="179"/>
        <v>0</v>
      </c>
      <c r="Y324" s="382">
        <f t="shared" si="180"/>
        <v>0</v>
      </c>
      <c r="Z324" s="343">
        <f t="shared" si="181"/>
        <v>0</v>
      </c>
      <c r="AA324" s="343">
        <f t="shared" si="182"/>
        <v>0</v>
      </c>
      <c r="AB324" s="343">
        <f t="shared" si="183"/>
        <v>0</v>
      </c>
      <c r="AC324" s="383">
        <f t="shared" si="184"/>
        <v>0</v>
      </c>
      <c r="AD324" s="344">
        <f t="shared" si="185"/>
        <v>0</v>
      </c>
      <c r="AE324" s="344">
        <f t="shared" si="186"/>
        <v>0</v>
      </c>
      <c r="AF324" s="344">
        <f t="shared" si="187"/>
        <v>0</v>
      </c>
      <c r="AG324" s="345">
        <f t="shared" si="188"/>
        <v>0</v>
      </c>
      <c r="AH324" s="345">
        <f t="shared" si="189"/>
        <v>0</v>
      </c>
      <c r="AI324" s="345">
        <f t="shared" si="190"/>
        <v>0</v>
      </c>
      <c r="AJ324" s="306">
        <f t="shared" si="191"/>
        <v>0</v>
      </c>
      <c r="AK324" s="306">
        <f t="shared" si="192"/>
        <v>0</v>
      </c>
      <c r="AL324" s="306">
        <f t="shared" si="193"/>
        <v>0</v>
      </c>
      <c r="AM324" s="749"/>
      <c r="AN324" s="763"/>
      <c r="AO324" s="780"/>
      <c r="AP324" s="896"/>
      <c r="AQ324" s="896"/>
      <c r="AR324" s="896"/>
      <c r="AS324" s="780"/>
      <c r="AT324" s="780"/>
      <c r="AU324" s="780"/>
      <c r="AV324" s="780"/>
      <c r="AW324" s="780"/>
      <c r="AX324" s="780"/>
      <c r="AY324" s="780"/>
      <c r="AZ324" s="780"/>
      <c r="BA324" s="780"/>
    </row>
    <row r="325" spans="1:59" x14ac:dyDescent="0.2">
      <c r="A325" s="346"/>
      <c r="B325" s="347"/>
      <c r="C325" s="358"/>
      <c r="D325" s="366"/>
      <c r="E325" s="366"/>
      <c r="F325" s="339"/>
      <c r="G325" s="1211">
        <f t="shared" si="173"/>
        <v>0</v>
      </c>
      <c r="H325" s="339"/>
      <c r="I325" s="339"/>
      <c r="J325" s="339"/>
      <c r="K325" s="339"/>
      <c r="L325" s="339"/>
      <c r="M325" s="339"/>
      <c r="N325" s="339"/>
      <c r="O325" s="339"/>
      <c r="P325" s="339"/>
      <c r="Q325" s="339"/>
      <c r="R325" s="1236">
        <f t="shared" si="174"/>
        <v>0</v>
      </c>
      <c r="S325" s="1237">
        <f t="shared" si="175"/>
        <v>0</v>
      </c>
      <c r="T325" s="341"/>
      <c r="U325" s="381">
        <f t="shared" si="176"/>
        <v>0</v>
      </c>
      <c r="V325" s="342">
        <f t="shared" si="177"/>
        <v>0</v>
      </c>
      <c r="W325" s="342">
        <f t="shared" si="178"/>
        <v>0</v>
      </c>
      <c r="X325" s="342">
        <f t="shared" si="179"/>
        <v>0</v>
      </c>
      <c r="Y325" s="382">
        <f t="shared" si="180"/>
        <v>0</v>
      </c>
      <c r="Z325" s="343">
        <f t="shared" si="181"/>
        <v>0</v>
      </c>
      <c r="AA325" s="343">
        <f t="shared" si="182"/>
        <v>0</v>
      </c>
      <c r="AB325" s="343">
        <f t="shared" si="183"/>
        <v>0</v>
      </c>
      <c r="AC325" s="383">
        <f t="shared" si="184"/>
        <v>0</v>
      </c>
      <c r="AD325" s="344">
        <f t="shared" si="185"/>
        <v>0</v>
      </c>
      <c r="AE325" s="344">
        <f t="shared" si="186"/>
        <v>0</v>
      </c>
      <c r="AF325" s="344">
        <f t="shared" si="187"/>
        <v>0</v>
      </c>
      <c r="AG325" s="345">
        <f t="shared" si="188"/>
        <v>0</v>
      </c>
      <c r="AH325" s="345">
        <f t="shared" si="189"/>
        <v>0</v>
      </c>
      <c r="AI325" s="345">
        <f t="shared" si="190"/>
        <v>0</v>
      </c>
      <c r="AJ325" s="306">
        <f t="shared" si="191"/>
        <v>0</v>
      </c>
      <c r="AK325" s="306">
        <f t="shared" si="192"/>
        <v>0</v>
      </c>
      <c r="AL325" s="306">
        <f t="shared" si="193"/>
        <v>0</v>
      </c>
      <c r="AM325" s="749"/>
      <c r="AN325" s="763"/>
      <c r="AO325" s="780"/>
      <c r="AP325" s="896"/>
      <c r="AQ325" s="896"/>
      <c r="AR325" s="896"/>
      <c r="AS325" s="780"/>
      <c r="AT325" s="780"/>
      <c r="AU325" s="780"/>
      <c r="AV325" s="780"/>
      <c r="AW325" s="780"/>
      <c r="AX325" s="780"/>
      <c r="AY325" s="780"/>
      <c r="AZ325" s="780"/>
      <c r="BA325" s="780"/>
    </row>
    <row r="326" spans="1:59" x14ac:dyDescent="0.2">
      <c r="A326" s="346"/>
      <c r="B326" s="347"/>
      <c r="C326" s="358"/>
      <c r="D326" s="366"/>
      <c r="E326" s="366"/>
      <c r="F326" s="339"/>
      <c r="G326" s="1211">
        <f t="shared" si="173"/>
        <v>0</v>
      </c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1236">
        <f t="shared" si="174"/>
        <v>0</v>
      </c>
      <c r="S326" s="1237">
        <f t="shared" si="175"/>
        <v>0</v>
      </c>
      <c r="T326" s="341"/>
      <c r="U326" s="381">
        <f t="shared" si="176"/>
        <v>0</v>
      </c>
      <c r="V326" s="342">
        <f t="shared" si="177"/>
        <v>0</v>
      </c>
      <c r="W326" s="342">
        <f t="shared" si="178"/>
        <v>0</v>
      </c>
      <c r="X326" s="342">
        <f t="shared" si="179"/>
        <v>0</v>
      </c>
      <c r="Y326" s="382">
        <f t="shared" si="180"/>
        <v>0</v>
      </c>
      <c r="Z326" s="343">
        <f t="shared" si="181"/>
        <v>0</v>
      </c>
      <c r="AA326" s="343">
        <f t="shared" si="182"/>
        <v>0</v>
      </c>
      <c r="AB326" s="343">
        <f t="shared" si="183"/>
        <v>0</v>
      </c>
      <c r="AC326" s="383">
        <f t="shared" si="184"/>
        <v>0</v>
      </c>
      <c r="AD326" s="344">
        <f t="shared" si="185"/>
        <v>0</v>
      </c>
      <c r="AE326" s="344">
        <f t="shared" si="186"/>
        <v>0</v>
      </c>
      <c r="AF326" s="344">
        <f t="shared" si="187"/>
        <v>0</v>
      </c>
      <c r="AG326" s="345">
        <f t="shared" si="188"/>
        <v>0</v>
      </c>
      <c r="AH326" s="345">
        <f t="shared" si="189"/>
        <v>0</v>
      </c>
      <c r="AI326" s="345">
        <f t="shared" si="190"/>
        <v>0</v>
      </c>
      <c r="AJ326" s="306">
        <f t="shared" si="191"/>
        <v>0</v>
      </c>
      <c r="AK326" s="306">
        <f t="shared" si="192"/>
        <v>0</v>
      </c>
      <c r="AL326" s="306">
        <f t="shared" si="193"/>
        <v>0</v>
      </c>
      <c r="AM326" s="749"/>
      <c r="AN326" s="763"/>
      <c r="AO326" s="780"/>
      <c r="AP326" s="896"/>
      <c r="AQ326" s="896"/>
      <c r="AR326" s="896"/>
      <c r="AS326" s="780"/>
      <c r="AT326" s="780"/>
      <c r="AU326" s="780"/>
      <c r="AV326" s="780"/>
      <c r="AW326" s="780"/>
      <c r="AX326" s="780"/>
      <c r="AY326" s="780"/>
      <c r="AZ326" s="780"/>
      <c r="BA326" s="780"/>
    </row>
    <row r="327" spans="1:59" ht="13.5" thickBot="1" x14ac:dyDescent="0.25">
      <c r="A327" s="346"/>
      <c r="B327" s="347"/>
      <c r="C327" s="358"/>
      <c r="D327" s="366"/>
      <c r="E327" s="366"/>
      <c r="F327" s="339"/>
      <c r="G327" s="1211">
        <f t="shared" si="173"/>
        <v>0</v>
      </c>
      <c r="H327" s="339"/>
      <c r="I327" s="339"/>
      <c r="J327" s="339"/>
      <c r="K327" s="339"/>
      <c r="L327" s="339"/>
      <c r="M327" s="339"/>
      <c r="N327" s="339"/>
      <c r="O327" s="339"/>
      <c r="P327" s="339"/>
      <c r="Q327" s="339"/>
      <c r="R327" s="1236">
        <f t="shared" si="174"/>
        <v>0</v>
      </c>
      <c r="S327" s="1237">
        <f t="shared" si="175"/>
        <v>0</v>
      </c>
      <c r="T327" s="341"/>
      <c r="U327" s="381">
        <f t="shared" si="176"/>
        <v>0</v>
      </c>
      <c r="V327" s="342">
        <f t="shared" si="177"/>
        <v>0</v>
      </c>
      <c r="W327" s="342">
        <f t="shared" si="178"/>
        <v>0</v>
      </c>
      <c r="X327" s="342">
        <f t="shared" si="179"/>
        <v>0</v>
      </c>
      <c r="Y327" s="382">
        <f t="shared" si="180"/>
        <v>0</v>
      </c>
      <c r="Z327" s="343">
        <f t="shared" si="181"/>
        <v>0</v>
      </c>
      <c r="AA327" s="343">
        <f t="shared" si="182"/>
        <v>0</v>
      </c>
      <c r="AB327" s="343">
        <f t="shared" si="183"/>
        <v>0</v>
      </c>
      <c r="AC327" s="383">
        <f t="shared" si="184"/>
        <v>0</v>
      </c>
      <c r="AD327" s="344">
        <f t="shared" si="185"/>
        <v>0</v>
      </c>
      <c r="AE327" s="344">
        <f t="shared" si="186"/>
        <v>0</v>
      </c>
      <c r="AF327" s="344">
        <f t="shared" si="187"/>
        <v>0</v>
      </c>
      <c r="AG327" s="345">
        <f t="shared" si="188"/>
        <v>0</v>
      </c>
      <c r="AH327" s="345">
        <f t="shared" si="189"/>
        <v>0</v>
      </c>
      <c r="AI327" s="345">
        <f t="shared" si="190"/>
        <v>0</v>
      </c>
      <c r="AJ327" s="306">
        <f t="shared" si="191"/>
        <v>0</v>
      </c>
      <c r="AK327" s="306">
        <f t="shared" si="192"/>
        <v>0</v>
      </c>
      <c r="AL327" s="306">
        <f t="shared" si="193"/>
        <v>0</v>
      </c>
      <c r="AM327" s="749"/>
      <c r="AN327" s="763"/>
      <c r="AO327" s="780"/>
      <c r="AP327" s="896"/>
      <c r="AQ327" s="896"/>
      <c r="AR327" s="896"/>
      <c r="AS327" s="780"/>
      <c r="AT327" s="780"/>
      <c r="AU327" s="780"/>
      <c r="AV327" s="780"/>
      <c r="AW327" s="780"/>
      <c r="AX327" s="780"/>
      <c r="AY327" s="780"/>
      <c r="AZ327" s="780"/>
      <c r="BA327" s="780"/>
    </row>
    <row r="328" spans="1:59" ht="13.5" thickBot="1" x14ac:dyDescent="0.25">
      <c r="A328" s="1242" t="s">
        <v>392</v>
      </c>
      <c r="B328" s="1243"/>
      <c r="C328" s="1225">
        <f>SUM(C298:C327)</f>
        <v>0</v>
      </c>
      <c r="D328" s="1226"/>
      <c r="E328" s="1226"/>
      <c r="F328" s="1226"/>
      <c r="G328" s="1228">
        <f>IF(ISERROR(SUM(G298:G327)/C328),0,(SUM(G298:G327)/C328))</f>
        <v>0</v>
      </c>
      <c r="H328" s="1228">
        <f>IF(ISERROR(SUM(H298:H327)/$C$328),0,(SUM(H298:H327)/$C$328))</f>
        <v>0</v>
      </c>
      <c r="I328" s="1228">
        <f>IF(ISERROR(SUM(I298:I327)/$C$328),0,(SUM(I298:I327)/$C$328))</f>
        <v>0</v>
      </c>
      <c r="J328" s="1228">
        <f t="shared" ref="J328:Q328" si="194">IF(ISERROR(SUM(J298:J327)/$C$328),0,(SUM(J298:J327)/$C$328))</f>
        <v>0</v>
      </c>
      <c r="K328" s="1228">
        <f t="shared" si="194"/>
        <v>0</v>
      </c>
      <c r="L328" s="1228">
        <f t="shared" si="194"/>
        <v>0</v>
      </c>
      <c r="M328" s="1228">
        <f t="shared" si="194"/>
        <v>0</v>
      </c>
      <c r="N328" s="1228">
        <f t="shared" si="194"/>
        <v>0</v>
      </c>
      <c r="O328" s="1228">
        <f>IF(ISERROR(SUM(O298:O327)/$C$328),0,(SUM(O298:O327)/$C$328))</f>
        <v>0</v>
      </c>
      <c r="P328" s="1228">
        <f t="shared" si="194"/>
        <v>0</v>
      </c>
      <c r="Q328" s="1228">
        <f t="shared" si="194"/>
        <v>0</v>
      </c>
      <c r="R328" s="1262">
        <f>SUM(R298:R327)</f>
        <v>0</v>
      </c>
      <c r="S328" s="1230">
        <f>IFERROR(SUM(R328/C328),0)</f>
        <v>0</v>
      </c>
      <c r="T328" s="308"/>
      <c r="U328" s="308"/>
      <c r="V328" s="308"/>
      <c r="W328" s="308"/>
      <c r="X328" s="308"/>
      <c r="Y328" s="308"/>
      <c r="Z328" s="308"/>
      <c r="AA328" s="308"/>
      <c r="AB328" s="308"/>
      <c r="AC328" s="308"/>
      <c r="AD328" s="308"/>
      <c r="AE328" s="308"/>
      <c r="AF328" s="308"/>
      <c r="AG328" s="308"/>
      <c r="AH328" s="308"/>
      <c r="AI328" s="308"/>
      <c r="AJ328" s="308"/>
      <c r="AK328" s="308"/>
      <c r="AL328" s="308"/>
      <c r="AM328" s="751"/>
      <c r="AN328" s="765"/>
      <c r="AO328" s="782"/>
      <c r="AP328" s="782"/>
      <c r="AQ328" s="782"/>
      <c r="AR328" s="782"/>
      <c r="AS328" s="782"/>
      <c r="AT328" s="782"/>
      <c r="AU328" s="782"/>
      <c r="AV328" s="782"/>
      <c r="AW328" s="782"/>
      <c r="AX328" s="782"/>
      <c r="AY328" s="782"/>
      <c r="AZ328" s="782"/>
      <c r="BA328" s="782"/>
      <c r="BG328" s="431"/>
    </row>
    <row r="329" spans="1:59" ht="13.5" thickBot="1" x14ac:dyDescent="0.25">
      <c r="A329" s="1245"/>
      <c r="B329" s="1246"/>
      <c r="P329" s="1399" t="s">
        <v>1193</v>
      </c>
      <c r="Q329" s="1400"/>
      <c r="R329" s="1401"/>
      <c r="S329" s="1261">
        <f>S328*(100+$R$8)%*(100+$R$9)%</f>
        <v>0</v>
      </c>
      <c r="T329" s="363"/>
      <c r="U329" s="364"/>
      <c r="V329" s="364"/>
      <c r="W329" s="364"/>
      <c r="X329" s="364"/>
      <c r="Y329" s="364"/>
      <c r="Z329" s="364"/>
      <c r="AA329" s="364"/>
      <c r="AB329" s="364"/>
      <c r="AC329" s="364"/>
      <c r="AD329" s="364"/>
      <c r="AE329" s="364"/>
      <c r="AF329" s="364"/>
      <c r="AG329" s="364"/>
      <c r="AH329" s="364"/>
      <c r="AI329" s="364"/>
      <c r="AJ329" s="364"/>
      <c r="AK329" s="364"/>
      <c r="AL329" s="364"/>
      <c r="AM329" s="753"/>
      <c r="AN329" s="768"/>
      <c r="AO329" s="785"/>
      <c r="AP329" s="785"/>
      <c r="AQ329" s="785"/>
      <c r="AR329" s="785"/>
      <c r="AS329" s="785"/>
      <c r="AT329" s="785"/>
      <c r="AU329" s="785"/>
      <c r="AV329" s="785"/>
      <c r="AW329" s="785"/>
      <c r="AX329" s="785"/>
      <c r="AY329" s="785"/>
      <c r="AZ329" s="785"/>
      <c r="BA329" s="785"/>
    </row>
    <row r="330" spans="1:59" x14ac:dyDescent="0.2">
      <c r="A330" s="1233" t="s">
        <v>393</v>
      </c>
      <c r="B330" s="194"/>
      <c r="J330" s="1721"/>
      <c r="K330" s="1721"/>
      <c r="L330" s="1721"/>
      <c r="M330" s="1721"/>
      <c r="N330" s="1721"/>
      <c r="O330" s="1721"/>
      <c r="P330" s="1721"/>
      <c r="Q330" s="1721"/>
      <c r="R330" s="1721"/>
      <c r="S330" s="1722"/>
      <c r="T330" s="362"/>
      <c r="U330" s="311"/>
      <c r="V330" s="311"/>
      <c r="W330" s="311"/>
      <c r="X330" s="311"/>
      <c r="Y330" s="311"/>
      <c r="Z330" s="311"/>
      <c r="AA330" s="311"/>
      <c r="AB330" s="311"/>
      <c r="AC330" s="311"/>
      <c r="AD330" s="311"/>
      <c r="AE330" s="311"/>
      <c r="AF330" s="311"/>
      <c r="AG330" s="311"/>
      <c r="AH330" s="311"/>
      <c r="AI330" s="311"/>
      <c r="AJ330" s="311"/>
      <c r="AK330" s="311"/>
      <c r="AL330" s="311"/>
      <c r="AM330" s="311"/>
      <c r="AN330" s="769"/>
      <c r="AO330" s="786"/>
      <c r="AP330" s="786"/>
      <c r="AQ330" s="786"/>
      <c r="AR330" s="786"/>
      <c r="AS330" s="786"/>
      <c r="AT330" s="786"/>
      <c r="AU330" s="786"/>
      <c r="AV330" s="786"/>
      <c r="AW330" s="786"/>
      <c r="AX330" s="786"/>
      <c r="AY330" s="786"/>
      <c r="AZ330" s="786"/>
      <c r="BA330" s="786"/>
    </row>
    <row r="331" spans="1:59" x14ac:dyDescent="0.2">
      <c r="A331" s="346"/>
      <c r="B331" s="347"/>
      <c r="C331" s="358"/>
      <c r="D331" s="366"/>
      <c r="E331" s="366"/>
      <c r="F331" s="339"/>
      <c r="G331" s="1211">
        <f t="shared" ref="G331:G360" si="195">IFERROR(F331*C331,"")</f>
        <v>0</v>
      </c>
      <c r="H331" s="339"/>
      <c r="I331" s="339"/>
      <c r="J331" s="339"/>
      <c r="K331" s="339"/>
      <c r="L331" s="339"/>
      <c r="M331" s="339"/>
      <c r="N331" s="339"/>
      <c r="O331" s="339"/>
      <c r="P331" s="339"/>
      <c r="Q331" s="339"/>
      <c r="R331" s="1236">
        <f t="shared" ref="R331:R360" si="196">IFERROR(IF(A331&lt;&gt;"GfB",(SUM(G331:J331,L331,P331)*12+(N331+O331))*(100+$J$12+$J$13)%+((K331+M331+Q331)*12),(SUM(G331:J331,L331,P331)*12+(N331+O331))*(100+$J$15+$J$13)%+((K331+M331+Q331)*12)),0)</f>
        <v>0</v>
      </c>
      <c r="S331" s="1237">
        <f t="shared" ref="S331:S360" si="197">IF(ISERROR(R331/C331),0,(R331/C331))</f>
        <v>0</v>
      </c>
      <c r="T331" s="341"/>
      <c r="U331" s="381">
        <f t="shared" ref="U331:U360" si="198">(IF(AND($B331="PFK/BFK",$C331&gt;0,$F331&gt;0),($G331+$H331),0))</f>
        <v>0</v>
      </c>
      <c r="V331" s="342">
        <f t="shared" ref="V331:V360" si="199">(IF(AND($B331="PFK/BFK",$C331&gt;0,$F331&gt;0),$I331,0))</f>
        <v>0</v>
      </c>
      <c r="W331" s="342">
        <f t="shared" ref="W331:W360" si="200">(IF(AND($B331="PFK/BFK",$C331&gt;0,$F331&gt;0),($J331+$K331),0))</f>
        <v>0</v>
      </c>
      <c r="X331" s="342">
        <f t="shared" ref="X331:X360" si="201">(IF(AND($B331="PFK/BFK",$C331&gt;0,$F331&gt;0),(($N331+$O331)/12),0))</f>
        <v>0</v>
      </c>
      <c r="Y331" s="382">
        <f t="shared" ref="Y331:Y360" si="202">(IF(AND($B331="PK/BK",$C331&gt;0,$F331&gt;0),($G331+$H331),0))</f>
        <v>0</v>
      </c>
      <c r="Z331" s="343">
        <f t="shared" ref="Z331:Z360" si="203">(IF(AND($B331="PK/BK",$C331&gt;0,$F331&gt;0),$I331,0))</f>
        <v>0</v>
      </c>
      <c r="AA331" s="343">
        <f t="shared" ref="AA331:AA360" si="204">(IF(AND($B331="PK/BK",$C331&gt;0,$F331&gt;0),($J331+$K331),0))</f>
        <v>0</v>
      </c>
      <c r="AB331" s="343">
        <f t="shared" ref="AB331:AB360" si="205">(IF(AND($B331="PK/BK",$C331&gt;0,$F331&gt;0),(($N331+$O331)/12),0))</f>
        <v>0</v>
      </c>
      <c r="AC331" s="383">
        <f t="shared" ref="AC331:AC360" si="206">(IF(AND($B331="PK/BK o.",$C331&gt;0,$F331&gt;0),($G331+$H331),0))</f>
        <v>0</v>
      </c>
      <c r="AD331" s="344">
        <f t="shared" ref="AD331:AD360" si="207">(IF(AND($B331="PK/BK o.",$C331&gt;0,$F331&gt;0),$I331,0))</f>
        <v>0</v>
      </c>
      <c r="AE331" s="344">
        <f t="shared" ref="AE331:AE360" si="208">(IF(AND($B331="PK/BK o.",$C331&gt;0,$F331&gt;0),($J331+$K331),0))</f>
        <v>0</v>
      </c>
      <c r="AF331" s="344">
        <f t="shared" ref="AF331:AF360" si="209">(IF(AND($B331="PK/BK o.",$C331&gt;0,$F331&gt;0),(($N331+$O331)/12),0))</f>
        <v>0</v>
      </c>
      <c r="AG331" s="345">
        <f t="shared" ref="AG331:AG360" si="210">IF(AND($B331="PFK/BFK",$C331&gt;0,$F331&gt;0),$C331,0)</f>
        <v>0</v>
      </c>
      <c r="AH331" s="345">
        <f t="shared" ref="AH331:AH360" si="211">IF(AND($B331="PK/BK",$C331&gt;0,$F331&gt;0),$C331,0)</f>
        <v>0</v>
      </c>
      <c r="AI331" s="345">
        <f t="shared" ref="AI331:AI360" si="212">IF(AND($B331="PK/BK o.",$C331&gt;0,$F331&gt;0),$C331,0)</f>
        <v>0</v>
      </c>
      <c r="AJ331" s="306">
        <f t="shared" ref="AJ331:AJ360" si="213">IF(AND($B331="PFK/BFK",$C331&gt;0,$F331&gt;0),$R331,0)</f>
        <v>0</v>
      </c>
      <c r="AK331" s="306">
        <f t="shared" ref="AK331:AK360" si="214">IF(AND($B331="PK/BK",$C331&gt;0,$F331&gt;0),$R331,0)</f>
        <v>0</v>
      </c>
      <c r="AL331" s="306">
        <f t="shared" ref="AL331:AL360" si="215">IF(AND($B331="PK/BK o.",$C331&gt;0,$F331&gt;0),$R331,0)</f>
        <v>0</v>
      </c>
      <c r="AM331" s="749"/>
      <c r="AN331" s="763"/>
      <c r="AO331" s="780"/>
      <c r="AP331" s="896"/>
      <c r="AQ331" s="896"/>
      <c r="AR331" s="896"/>
      <c r="AS331" s="780"/>
      <c r="AT331" s="780"/>
      <c r="AU331" s="780"/>
      <c r="AV331" s="780"/>
      <c r="AW331" s="780"/>
      <c r="AX331" s="780"/>
      <c r="AY331" s="780"/>
      <c r="AZ331" s="780"/>
      <c r="BA331" s="780"/>
    </row>
    <row r="332" spans="1:59" x14ac:dyDescent="0.2">
      <c r="A332" s="346"/>
      <c r="B332" s="347"/>
      <c r="C332" s="358"/>
      <c r="D332" s="366"/>
      <c r="E332" s="366"/>
      <c r="F332" s="339"/>
      <c r="G332" s="1211">
        <f t="shared" si="195"/>
        <v>0</v>
      </c>
      <c r="H332" s="339"/>
      <c r="I332" s="339"/>
      <c r="J332" s="339"/>
      <c r="K332" s="339"/>
      <c r="L332" s="339"/>
      <c r="M332" s="339"/>
      <c r="N332" s="339"/>
      <c r="O332" s="339"/>
      <c r="P332" s="339"/>
      <c r="Q332" s="339"/>
      <c r="R332" s="1236">
        <f t="shared" si="196"/>
        <v>0</v>
      </c>
      <c r="S332" s="1237">
        <f t="shared" si="197"/>
        <v>0</v>
      </c>
      <c r="T332" s="341"/>
      <c r="U332" s="381">
        <f t="shared" si="198"/>
        <v>0</v>
      </c>
      <c r="V332" s="342">
        <f t="shared" si="199"/>
        <v>0</v>
      </c>
      <c r="W332" s="342">
        <f t="shared" si="200"/>
        <v>0</v>
      </c>
      <c r="X332" s="342">
        <f t="shared" si="201"/>
        <v>0</v>
      </c>
      <c r="Y332" s="382">
        <f t="shared" si="202"/>
        <v>0</v>
      </c>
      <c r="Z332" s="343">
        <f t="shared" si="203"/>
        <v>0</v>
      </c>
      <c r="AA332" s="343">
        <f t="shared" si="204"/>
        <v>0</v>
      </c>
      <c r="AB332" s="343">
        <f t="shared" si="205"/>
        <v>0</v>
      </c>
      <c r="AC332" s="383">
        <f t="shared" si="206"/>
        <v>0</v>
      </c>
      <c r="AD332" s="344">
        <f t="shared" si="207"/>
        <v>0</v>
      </c>
      <c r="AE332" s="344">
        <f t="shared" si="208"/>
        <v>0</v>
      </c>
      <c r="AF332" s="344">
        <f t="shared" si="209"/>
        <v>0</v>
      </c>
      <c r="AG332" s="345">
        <f t="shared" si="210"/>
        <v>0</v>
      </c>
      <c r="AH332" s="345">
        <f t="shared" si="211"/>
        <v>0</v>
      </c>
      <c r="AI332" s="345">
        <f t="shared" si="212"/>
        <v>0</v>
      </c>
      <c r="AJ332" s="306">
        <f t="shared" si="213"/>
        <v>0</v>
      </c>
      <c r="AK332" s="306">
        <f t="shared" si="214"/>
        <v>0</v>
      </c>
      <c r="AL332" s="306">
        <f t="shared" si="215"/>
        <v>0</v>
      </c>
      <c r="AM332" s="749"/>
      <c r="AN332" s="763"/>
      <c r="AO332" s="780"/>
      <c r="AP332" s="896"/>
      <c r="AQ332" s="896"/>
      <c r="AR332" s="896"/>
      <c r="AS332" s="780"/>
      <c r="AT332" s="780"/>
      <c r="AU332" s="780"/>
      <c r="AV332" s="780"/>
      <c r="AW332" s="780"/>
      <c r="AX332" s="780"/>
      <c r="AY332" s="780"/>
      <c r="AZ332" s="780"/>
      <c r="BA332" s="780"/>
    </row>
    <row r="333" spans="1:59" x14ac:dyDescent="0.2">
      <c r="A333" s="346"/>
      <c r="B333" s="347"/>
      <c r="C333" s="358"/>
      <c r="D333" s="366"/>
      <c r="E333" s="366"/>
      <c r="F333" s="339"/>
      <c r="G333" s="1211">
        <f t="shared" si="195"/>
        <v>0</v>
      </c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1236">
        <f t="shared" si="196"/>
        <v>0</v>
      </c>
      <c r="S333" s="1237">
        <f t="shared" si="197"/>
        <v>0</v>
      </c>
      <c r="T333" s="341"/>
      <c r="U333" s="381">
        <f t="shared" si="198"/>
        <v>0</v>
      </c>
      <c r="V333" s="342">
        <f t="shared" si="199"/>
        <v>0</v>
      </c>
      <c r="W333" s="342">
        <f t="shared" si="200"/>
        <v>0</v>
      </c>
      <c r="X333" s="342">
        <f t="shared" si="201"/>
        <v>0</v>
      </c>
      <c r="Y333" s="382">
        <f t="shared" si="202"/>
        <v>0</v>
      </c>
      <c r="Z333" s="343">
        <f t="shared" si="203"/>
        <v>0</v>
      </c>
      <c r="AA333" s="343">
        <f t="shared" si="204"/>
        <v>0</v>
      </c>
      <c r="AB333" s="343">
        <f t="shared" si="205"/>
        <v>0</v>
      </c>
      <c r="AC333" s="383">
        <f t="shared" si="206"/>
        <v>0</v>
      </c>
      <c r="AD333" s="344">
        <f t="shared" si="207"/>
        <v>0</v>
      </c>
      <c r="AE333" s="344">
        <f t="shared" si="208"/>
        <v>0</v>
      </c>
      <c r="AF333" s="344">
        <f t="shared" si="209"/>
        <v>0</v>
      </c>
      <c r="AG333" s="345">
        <f t="shared" si="210"/>
        <v>0</v>
      </c>
      <c r="AH333" s="345">
        <f t="shared" si="211"/>
        <v>0</v>
      </c>
      <c r="AI333" s="345">
        <f t="shared" si="212"/>
        <v>0</v>
      </c>
      <c r="AJ333" s="306">
        <f t="shared" si="213"/>
        <v>0</v>
      </c>
      <c r="AK333" s="306">
        <f t="shared" si="214"/>
        <v>0</v>
      </c>
      <c r="AL333" s="306">
        <f t="shared" si="215"/>
        <v>0</v>
      </c>
      <c r="AM333" s="749"/>
      <c r="AN333" s="763"/>
      <c r="AO333" s="780"/>
      <c r="AP333" s="896"/>
      <c r="AQ333" s="896"/>
      <c r="AR333" s="896"/>
      <c r="AS333" s="780"/>
      <c r="AT333" s="780"/>
      <c r="AU333" s="780"/>
      <c r="AV333" s="780"/>
      <c r="AW333" s="780"/>
      <c r="AX333" s="780"/>
      <c r="AY333" s="780"/>
      <c r="AZ333" s="780"/>
      <c r="BA333" s="780"/>
    </row>
    <row r="334" spans="1:59" x14ac:dyDescent="0.2">
      <c r="A334" s="346"/>
      <c r="B334" s="347"/>
      <c r="C334" s="358"/>
      <c r="D334" s="366"/>
      <c r="E334" s="366"/>
      <c r="F334" s="339"/>
      <c r="G334" s="1211">
        <f t="shared" si="195"/>
        <v>0</v>
      </c>
      <c r="H334" s="339"/>
      <c r="I334" s="339"/>
      <c r="J334" s="339"/>
      <c r="K334" s="339"/>
      <c r="L334" s="339"/>
      <c r="M334" s="339"/>
      <c r="N334" s="339"/>
      <c r="O334" s="339"/>
      <c r="P334" s="339"/>
      <c r="Q334" s="339"/>
      <c r="R334" s="1236">
        <f t="shared" si="196"/>
        <v>0</v>
      </c>
      <c r="S334" s="1237">
        <f t="shared" si="197"/>
        <v>0</v>
      </c>
      <c r="T334" s="341"/>
      <c r="U334" s="381">
        <f t="shared" si="198"/>
        <v>0</v>
      </c>
      <c r="V334" s="342">
        <f t="shared" si="199"/>
        <v>0</v>
      </c>
      <c r="W334" s="342">
        <f t="shared" si="200"/>
        <v>0</v>
      </c>
      <c r="X334" s="342">
        <f t="shared" si="201"/>
        <v>0</v>
      </c>
      <c r="Y334" s="382">
        <f t="shared" si="202"/>
        <v>0</v>
      </c>
      <c r="Z334" s="343">
        <f t="shared" si="203"/>
        <v>0</v>
      </c>
      <c r="AA334" s="343">
        <f t="shared" si="204"/>
        <v>0</v>
      </c>
      <c r="AB334" s="343">
        <f t="shared" si="205"/>
        <v>0</v>
      </c>
      <c r="AC334" s="383">
        <f t="shared" si="206"/>
        <v>0</v>
      </c>
      <c r="AD334" s="344">
        <f t="shared" si="207"/>
        <v>0</v>
      </c>
      <c r="AE334" s="344">
        <f t="shared" si="208"/>
        <v>0</v>
      </c>
      <c r="AF334" s="344">
        <f t="shared" si="209"/>
        <v>0</v>
      </c>
      <c r="AG334" s="345">
        <f t="shared" si="210"/>
        <v>0</v>
      </c>
      <c r="AH334" s="345">
        <f t="shared" si="211"/>
        <v>0</v>
      </c>
      <c r="AI334" s="345">
        <f t="shared" si="212"/>
        <v>0</v>
      </c>
      <c r="AJ334" s="306">
        <f t="shared" si="213"/>
        <v>0</v>
      </c>
      <c r="AK334" s="306">
        <f t="shared" si="214"/>
        <v>0</v>
      </c>
      <c r="AL334" s="306">
        <f t="shared" si="215"/>
        <v>0</v>
      </c>
      <c r="AM334" s="749"/>
      <c r="AN334" s="763"/>
      <c r="AO334" s="780"/>
      <c r="AP334" s="896"/>
      <c r="AQ334" s="896"/>
      <c r="AR334" s="896"/>
      <c r="AS334" s="780"/>
      <c r="AT334" s="780"/>
      <c r="AU334" s="780"/>
      <c r="AV334" s="780"/>
      <c r="AW334" s="780"/>
      <c r="AX334" s="780"/>
      <c r="AY334" s="780"/>
      <c r="AZ334" s="780"/>
      <c r="BA334" s="780"/>
    </row>
    <row r="335" spans="1:59" x14ac:dyDescent="0.2">
      <c r="A335" s="346"/>
      <c r="B335" s="347"/>
      <c r="C335" s="358"/>
      <c r="D335" s="366"/>
      <c r="E335" s="366"/>
      <c r="F335" s="339"/>
      <c r="G335" s="1211">
        <f t="shared" si="195"/>
        <v>0</v>
      </c>
      <c r="H335" s="339"/>
      <c r="I335" s="339"/>
      <c r="J335" s="339"/>
      <c r="K335" s="339"/>
      <c r="L335" s="339"/>
      <c r="M335" s="339"/>
      <c r="N335" s="339"/>
      <c r="O335" s="339"/>
      <c r="P335" s="339"/>
      <c r="Q335" s="339"/>
      <c r="R335" s="1236">
        <f t="shared" si="196"/>
        <v>0</v>
      </c>
      <c r="S335" s="1237">
        <f t="shared" si="197"/>
        <v>0</v>
      </c>
      <c r="T335" s="341"/>
      <c r="U335" s="381">
        <f t="shared" si="198"/>
        <v>0</v>
      </c>
      <c r="V335" s="342">
        <f t="shared" si="199"/>
        <v>0</v>
      </c>
      <c r="W335" s="342">
        <f t="shared" si="200"/>
        <v>0</v>
      </c>
      <c r="X335" s="342">
        <f t="shared" si="201"/>
        <v>0</v>
      </c>
      <c r="Y335" s="382">
        <f t="shared" si="202"/>
        <v>0</v>
      </c>
      <c r="Z335" s="343">
        <f t="shared" si="203"/>
        <v>0</v>
      </c>
      <c r="AA335" s="343">
        <f t="shared" si="204"/>
        <v>0</v>
      </c>
      <c r="AB335" s="343">
        <f t="shared" si="205"/>
        <v>0</v>
      </c>
      <c r="AC335" s="383">
        <f t="shared" si="206"/>
        <v>0</v>
      </c>
      <c r="AD335" s="344">
        <f t="shared" si="207"/>
        <v>0</v>
      </c>
      <c r="AE335" s="344">
        <f t="shared" si="208"/>
        <v>0</v>
      </c>
      <c r="AF335" s="344">
        <f t="shared" si="209"/>
        <v>0</v>
      </c>
      <c r="AG335" s="345">
        <f t="shared" si="210"/>
        <v>0</v>
      </c>
      <c r="AH335" s="345">
        <f t="shared" si="211"/>
        <v>0</v>
      </c>
      <c r="AI335" s="345">
        <f t="shared" si="212"/>
        <v>0</v>
      </c>
      <c r="AJ335" s="306">
        <f t="shared" si="213"/>
        <v>0</v>
      </c>
      <c r="AK335" s="306">
        <f t="shared" si="214"/>
        <v>0</v>
      </c>
      <c r="AL335" s="306">
        <f t="shared" si="215"/>
        <v>0</v>
      </c>
      <c r="AM335" s="749"/>
      <c r="AN335" s="763"/>
      <c r="AO335" s="780"/>
      <c r="AP335" s="896"/>
      <c r="AQ335" s="896"/>
      <c r="AR335" s="896"/>
      <c r="AS335" s="780"/>
      <c r="AT335" s="780"/>
      <c r="AU335" s="780"/>
      <c r="AV335" s="780"/>
      <c r="AW335" s="780"/>
      <c r="AX335" s="780"/>
      <c r="AY335" s="780"/>
      <c r="AZ335" s="780"/>
      <c r="BA335" s="780"/>
    </row>
    <row r="336" spans="1:59" x14ac:dyDescent="0.2">
      <c r="A336" s="346"/>
      <c r="B336" s="347"/>
      <c r="C336" s="358"/>
      <c r="D336" s="366"/>
      <c r="E336" s="366"/>
      <c r="F336" s="339"/>
      <c r="G336" s="1211">
        <f t="shared" si="195"/>
        <v>0</v>
      </c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1236">
        <f t="shared" si="196"/>
        <v>0</v>
      </c>
      <c r="S336" s="1237">
        <f t="shared" si="197"/>
        <v>0</v>
      </c>
      <c r="T336" s="341"/>
      <c r="U336" s="381">
        <f t="shared" si="198"/>
        <v>0</v>
      </c>
      <c r="V336" s="342">
        <f t="shared" si="199"/>
        <v>0</v>
      </c>
      <c r="W336" s="342">
        <f t="shared" si="200"/>
        <v>0</v>
      </c>
      <c r="X336" s="342">
        <f t="shared" si="201"/>
        <v>0</v>
      </c>
      <c r="Y336" s="382">
        <f t="shared" si="202"/>
        <v>0</v>
      </c>
      <c r="Z336" s="343">
        <f t="shared" si="203"/>
        <v>0</v>
      </c>
      <c r="AA336" s="343">
        <f t="shared" si="204"/>
        <v>0</v>
      </c>
      <c r="AB336" s="343">
        <f t="shared" si="205"/>
        <v>0</v>
      </c>
      <c r="AC336" s="383">
        <f t="shared" si="206"/>
        <v>0</v>
      </c>
      <c r="AD336" s="344">
        <f t="shared" si="207"/>
        <v>0</v>
      </c>
      <c r="AE336" s="344">
        <f t="shared" si="208"/>
        <v>0</v>
      </c>
      <c r="AF336" s="344">
        <f t="shared" si="209"/>
        <v>0</v>
      </c>
      <c r="AG336" s="345">
        <f t="shared" si="210"/>
        <v>0</v>
      </c>
      <c r="AH336" s="345">
        <f t="shared" si="211"/>
        <v>0</v>
      </c>
      <c r="AI336" s="345">
        <f t="shared" si="212"/>
        <v>0</v>
      </c>
      <c r="AJ336" s="306">
        <f t="shared" si="213"/>
        <v>0</v>
      </c>
      <c r="AK336" s="306">
        <f t="shared" si="214"/>
        <v>0</v>
      </c>
      <c r="AL336" s="306">
        <f t="shared" si="215"/>
        <v>0</v>
      </c>
      <c r="AM336" s="749"/>
      <c r="AN336" s="763"/>
      <c r="AO336" s="780"/>
      <c r="AP336" s="896"/>
      <c r="AQ336" s="896"/>
      <c r="AR336" s="896"/>
      <c r="AS336" s="780"/>
      <c r="AT336" s="780"/>
      <c r="AU336" s="780"/>
      <c r="AV336" s="780"/>
      <c r="AW336" s="780"/>
      <c r="AX336" s="780"/>
      <c r="AY336" s="780"/>
      <c r="AZ336" s="780"/>
      <c r="BA336" s="780"/>
    </row>
    <row r="337" spans="1:53" x14ac:dyDescent="0.2">
      <c r="A337" s="346"/>
      <c r="B337" s="347"/>
      <c r="C337" s="358"/>
      <c r="D337" s="366"/>
      <c r="E337" s="366"/>
      <c r="F337" s="339"/>
      <c r="G337" s="1211">
        <f t="shared" si="195"/>
        <v>0</v>
      </c>
      <c r="H337" s="339"/>
      <c r="I337" s="339"/>
      <c r="J337" s="339"/>
      <c r="K337" s="339"/>
      <c r="L337" s="339"/>
      <c r="M337" s="339"/>
      <c r="N337" s="339"/>
      <c r="O337" s="339"/>
      <c r="P337" s="339"/>
      <c r="Q337" s="339"/>
      <c r="R337" s="1236">
        <f t="shared" si="196"/>
        <v>0</v>
      </c>
      <c r="S337" s="1237">
        <f t="shared" si="197"/>
        <v>0</v>
      </c>
      <c r="T337" s="341"/>
      <c r="U337" s="381">
        <f t="shared" si="198"/>
        <v>0</v>
      </c>
      <c r="V337" s="342">
        <f t="shared" si="199"/>
        <v>0</v>
      </c>
      <c r="W337" s="342">
        <f t="shared" si="200"/>
        <v>0</v>
      </c>
      <c r="X337" s="342">
        <f t="shared" si="201"/>
        <v>0</v>
      </c>
      <c r="Y337" s="382">
        <f t="shared" si="202"/>
        <v>0</v>
      </c>
      <c r="Z337" s="343">
        <f t="shared" si="203"/>
        <v>0</v>
      </c>
      <c r="AA337" s="343">
        <f t="shared" si="204"/>
        <v>0</v>
      </c>
      <c r="AB337" s="343">
        <f t="shared" si="205"/>
        <v>0</v>
      </c>
      <c r="AC337" s="383">
        <f t="shared" si="206"/>
        <v>0</v>
      </c>
      <c r="AD337" s="344">
        <f t="shared" si="207"/>
        <v>0</v>
      </c>
      <c r="AE337" s="344">
        <f t="shared" si="208"/>
        <v>0</v>
      </c>
      <c r="AF337" s="344">
        <f t="shared" si="209"/>
        <v>0</v>
      </c>
      <c r="AG337" s="345">
        <f t="shared" si="210"/>
        <v>0</v>
      </c>
      <c r="AH337" s="345">
        <f t="shared" si="211"/>
        <v>0</v>
      </c>
      <c r="AI337" s="345">
        <f t="shared" si="212"/>
        <v>0</v>
      </c>
      <c r="AJ337" s="306">
        <f t="shared" si="213"/>
        <v>0</v>
      </c>
      <c r="AK337" s="306">
        <f t="shared" si="214"/>
        <v>0</v>
      </c>
      <c r="AL337" s="306">
        <f t="shared" si="215"/>
        <v>0</v>
      </c>
      <c r="AM337" s="749"/>
      <c r="AN337" s="763"/>
      <c r="AO337" s="780"/>
      <c r="AP337" s="896"/>
      <c r="AQ337" s="896"/>
      <c r="AR337" s="896"/>
      <c r="AS337" s="780"/>
      <c r="AT337" s="780"/>
      <c r="AU337" s="780"/>
      <c r="AV337" s="780"/>
      <c r="AW337" s="780"/>
      <c r="AX337" s="780"/>
      <c r="AY337" s="780"/>
      <c r="AZ337" s="780"/>
      <c r="BA337" s="780"/>
    </row>
    <row r="338" spans="1:53" x14ac:dyDescent="0.2">
      <c r="A338" s="346"/>
      <c r="B338" s="347"/>
      <c r="C338" s="358"/>
      <c r="D338" s="366"/>
      <c r="E338" s="366"/>
      <c r="F338" s="339"/>
      <c r="G338" s="1211">
        <f t="shared" si="195"/>
        <v>0</v>
      </c>
      <c r="H338" s="339"/>
      <c r="I338" s="339"/>
      <c r="J338" s="339"/>
      <c r="K338" s="339"/>
      <c r="L338" s="339"/>
      <c r="M338" s="339"/>
      <c r="N338" s="339"/>
      <c r="O338" s="339"/>
      <c r="P338" s="339"/>
      <c r="Q338" s="339"/>
      <c r="R338" s="1236">
        <f t="shared" si="196"/>
        <v>0</v>
      </c>
      <c r="S338" s="1237">
        <f t="shared" si="197"/>
        <v>0</v>
      </c>
      <c r="T338" s="341"/>
      <c r="U338" s="381">
        <f t="shared" si="198"/>
        <v>0</v>
      </c>
      <c r="V338" s="342">
        <f t="shared" si="199"/>
        <v>0</v>
      </c>
      <c r="W338" s="342">
        <f t="shared" si="200"/>
        <v>0</v>
      </c>
      <c r="X338" s="342">
        <f t="shared" si="201"/>
        <v>0</v>
      </c>
      <c r="Y338" s="382">
        <f t="shared" si="202"/>
        <v>0</v>
      </c>
      <c r="Z338" s="343">
        <f t="shared" si="203"/>
        <v>0</v>
      </c>
      <c r="AA338" s="343">
        <f t="shared" si="204"/>
        <v>0</v>
      </c>
      <c r="AB338" s="343">
        <f t="shared" si="205"/>
        <v>0</v>
      </c>
      <c r="AC338" s="383">
        <f t="shared" si="206"/>
        <v>0</v>
      </c>
      <c r="AD338" s="344">
        <f t="shared" si="207"/>
        <v>0</v>
      </c>
      <c r="AE338" s="344">
        <f t="shared" si="208"/>
        <v>0</v>
      </c>
      <c r="AF338" s="344">
        <f t="shared" si="209"/>
        <v>0</v>
      </c>
      <c r="AG338" s="345">
        <f t="shared" si="210"/>
        <v>0</v>
      </c>
      <c r="AH338" s="345">
        <f t="shared" si="211"/>
        <v>0</v>
      </c>
      <c r="AI338" s="345">
        <f t="shared" si="212"/>
        <v>0</v>
      </c>
      <c r="AJ338" s="306">
        <f t="shared" si="213"/>
        <v>0</v>
      </c>
      <c r="AK338" s="306">
        <f t="shared" si="214"/>
        <v>0</v>
      </c>
      <c r="AL338" s="306">
        <f t="shared" si="215"/>
        <v>0</v>
      </c>
      <c r="AM338" s="749"/>
      <c r="AN338" s="763"/>
      <c r="AO338" s="780"/>
      <c r="AP338" s="896"/>
      <c r="AQ338" s="896"/>
      <c r="AR338" s="896"/>
      <c r="AS338" s="780"/>
      <c r="AT338" s="780"/>
      <c r="AU338" s="780"/>
      <c r="AV338" s="780"/>
      <c r="AW338" s="780"/>
      <c r="AX338" s="780"/>
      <c r="AY338" s="780"/>
      <c r="AZ338" s="780"/>
      <c r="BA338" s="780"/>
    </row>
    <row r="339" spans="1:53" x14ac:dyDescent="0.2">
      <c r="A339" s="346"/>
      <c r="B339" s="347"/>
      <c r="C339" s="358"/>
      <c r="D339" s="366"/>
      <c r="E339" s="366"/>
      <c r="F339" s="339"/>
      <c r="G339" s="1211">
        <f t="shared" si="195"/>
        <v>0</v>
      </c>
      <c r="H339" s="339"/>
      <c r="I339" s="339"/>
      <c r="J339" s="339"/>
      <c r="K339" s="339"/>
      <c r="L339" s="339"/>
      <c r="M339" s="339"/>
      <c r="N339" s="339"/>
      <c r="O339" s="339"/>
      <c r="P339" s="339"/>
      <c r="Q339" s="339"/>
      <c r="R339" s="1236">
        <f t="shared" si="196"/>
        <v>0</v>
      </c>
      <c r="S339" s="1237">
        <f t="shared" si="197"/>
        <v>0</v>
      </c>
      <c r="T339" s="341"/>
      <c r="U339" s="381">
        <f t="shared" si="198"/>
        <v>0</v>
      </c>
      <c r="V339" s="342">
        <f t="shared" si="199"/>
        <v>0</v>
      </c>
      <c r="W339" s="342">
        <f t="shared" si="200"/>
        <v>0</v>
      </c>
      <c r="X339" s="342">
        <f t="shared" si="201"/>
        <v>0</v>
      </c>
      <c r="Y339" s="382">
        <f t="shared" si="202"/>
        <v>0</v>
      </c>
      <c r="Z339" s="343">
        <f t="shared" si="203"/>
        <v>0</v>
      </c>
      <c r="AA339" s="343">
        <f t="shared" si="204"/>
        <v>0</v>
      </c>
      <c r="AB339" s="343">
        <f t="shared" si="205"/>
        <v>0</v>
      </c>
      <c r="AC339" s="383">
        <f t="shared" si="206"/>
        <v>0</v>
      </c>
      <c r="AD339" s="344">
        <f t="shared" si="207"/>
        <v>0</v>
      </c>
      <c r="AE339" s="344">
        <f t="shared" si="208"/>
        <v>0</v>
      </c>
      <c r="AF339" s="344">
        <f t="shared" si="209"/>
        <v>0</v>
      </c>
      <c r="AG339" s="345">
        <f t="shared" si="210"/>
        <v>0</v>
      </c>
      <c r="AH339" s="345">
        <f t="shared" si="211"/>
        <v>0</v>
      </c>
      <c r="AI339" s="345">
        <f t="shared" si="212"/>
        <v>0</v>
      </c>
      <c r="AJ339" s="306">
        <f t="shared" si="213"/>
        <v>0</v>
      </c>
      <c r="AK339" s="306">
        <f t="shared" si="214"/>
        <v>0</v>
      </c>
      <c r="AL339" s="306">
        <f t="shared" si="215"/>
        <v>0</v>
      </c>
      <c r="AM339" s="749"/>
      <c r="AN339" s="763"/>
      <c r="AO339" s="780"/>
      <c r="AP339" s="896"/>
      <c r="AQ339" s="896"/>
      <c r="AR339" s="896"/>
      <c r="AS339" s="780"/>
      <c r="AT339" s="780"/>
      <c r="AU339" s="780"/>
      <c r="AV339" s="780"/>
      <c r="AW339" s="780"/>
      <c r="AX339" s="780"/>
      <c r="AY339" s="780"/>
      <c r="AZ339" s="780"/>
      <c r="BA339" s="780"/>
    </row>
    <row r="340" spans="1:53" x14ac:dyDescent="0.2">
      <c r="A340" s="346"/>
      <c r="B340" s="347"/>
      <c r="C340" s="358"/>
      <c r="D340" s="366"/>
      <c r="E340" s="366"/>
      <c r="F340" s="339"/>
      <c r="G340" s="1211">
        <f t="shared" si="195"/>
        <v>0</v>
      </c>
      <c r="H340" s="339"/>
      <c r="I340" s="339"/>
      <c r="J340" s="339"/>
      <c r="K340" s="339"/>
      <c r="L340" s="339"/>
      <c r="M340" s="339"/>
      <c r="N340" s="339"/>
      <c r="O340" s="339"/>
      <c r="P340" s="339"/>
      <c r="Q340" s="339"/>
      <c r="R340" s="1236">
        <f t="shared" si="196"/>
        <v>0</v>
      </c>
      <c r="S340" s="1237">
        <f t="shared" si="197"/>
        <v>0</v>
      </c>
      <c r="T340" s="341"/>
      <c r="U340" s="381">
        <f t="shared" si="198"/>
        <v>0</v>
      </c>
      <c r="V340" s="342">
        <f t="shared" si="199"/>
        <v>0</v>
      </c>
      <c r="W340" s="342">
        <f t="shared" si="200"/>
        <v>0</v>
      </c>
      <c r="X340" s="342">
        <f t="shared" si="201"/>
        <v>0</v>
      </c>
      <c r="Y340" s="382">
        <f t="shared" si="202"/>
        <v>0</v>
      </c>
      <c r="Z340" s="343">
        <f t="shared" si="203"/>
        <v>0</v>
      </c>
      <c r="AA340" s="343">
        <f t="shared" si="204"/>
        <v>0</v>
      </c>
      <c r="AB340" s="343">
        <f t="shared" si="205"/>
        <v>0</v>
      </c>
      <c r="AC340" s="383">
        <f t="shared" si="206"/>
        <v>0</v>
      </c>
      <c r="AD340" s="344">
        <f t="shared" si="207"/>
        <v>0</v>
      </c>
      <c r="AE340" s="344">
        <f t="shared" si="208"/>
        <v>0</v>
      </c>
      <c r="AF340" s="344">
        <f t="shared" si="209"/>
        <v>0</v>
      </c>
      <c r="AG340" s="345">
        <f t="shared" si="210"/>
        <v>0</v>
      </c>
      <c r="AH340" s="345">
        <f t="shared" si="211"/>
        <v>0</v>
      </c>
      <c r="AI340" s="345">
        <f t="shared" si="212"/>
        <v>0</v>
      </c>
      <c r="AJ340" s="306">
        <f t="shared" si="213"/>
        <v>0</v>
      </c>
      <c r="AK340" s="306">
        <f t="shared" si="214"/>
        <v>0</v>
      </c>
      <c r="AL340" s="306">
        <f t="shared" si="215"/>
        <v>0</v>
      </c>
      <c r="AM340" s="749"/>
      <c r="AN340" s="763"/>
      <c r="AO340" s="780"/>
      <c r="AP340" s="896"/>
      <c r="AQ340" s="896"/>
      <c r="AR340" s="896"/>
      <c r="AS340" s="780"/>
      <c r="AT340" s="780"/>
      <c r="AU340" s="780"/>
      <c r="AV340" s="780"/>
      <c r="AW340" s="780"/>
      <c r="AX340" s="780"/>
      <c r="AY340" s="780"/>
      <c r="AZ340" s="780"/>
      <c r="BA340" s="780"/>
    </row>
    <row r="341" spans="1:53" x14ac:dyDescent="0.2">
      <c r="A341" s="346"/>
      <c r="B341" s="347"/>
      <c r="C341" s="358"/>
      <c r="D341" s="366"/>
      <c r="E341" s="366"/>
      <c r="F341" s="339"/>
      <c r="G341" s="1211">
        <f t="shared" si="195"/>
        <v>0</v>
      </c>
      <c r="H341" s="339"/>
      <c r="I341" s="339"/>
      <c r="J341" s="339"/>
      <c r="K341" s="339"/>
      <c r="L341" s="339"/>
      <c r="M341" s="339"/>
      <c r="N341" s="339"/>
      <c r="O341" s="339"/>
      <c r="P341" s="339"/>
      <c r="Q341" s="339"/>
      <c r="R341" s="1236">
        <f t="shared" si="196"/>
        <v>0</v>
      </c>
      <c r="S341" s="1237">
        <f t="shared" si="197"/>
        <v>0</v>
      </c>
      <c r="T341" s="341"/>
      <c r="U341" s="381">
        <f t="shared" si="198"/>
        <v>0</v>
      </c>
      <c r="V341" s="342">
        <f t="shared" si="199"/>
        <v>0</v>
      </c>
      <c r="W341" s="342">
        <f t="shared" si="200"/>
        <v>0</v>
      </c>
      <c r="X341" s="342">
        <f t="shared" si="201"/>
        <v>0</v>
      </c>
      <c r="Y341" s="382">
        <f t="shared" si="202"/>
        <v>0</v>
      </c>
      <c r="Z341" s="343">
        <f t="shared" si="203"/>
        <v>0</v>
      </c>
      <c r="AA341" s="343">
        <f t="shared" si="204"/>
        <v>0</v>
      </c>
      <c r="AB341" s="343">
        <f t="shared" si="205"/>
        <v>0</v>
      </c>
      <c r="AC341" s="383">
        <f t="shared" si="206"/>
        <v>0</v>
      </c>
      <c r="AD341" s="344">
        <f t="shared" si="207"/>
        <v>0</v>
      </c>
      <c r="AE341" s="344">
        <f t="shared" si="208"/>
        <v>0</v>
      </c>
      <c r="AF341" s="344">
        <f t="shared" si="209"/>
        <v>0</v>
      </c>
      <c r="AG341" s="345">
        <f t="shared" si="210"/>
        <v>0</v>
      </c>
      <c r="AH341" s="345">
        <f t="shared" si="211"/>
        <v>0</v>
      </c>
      <c r="AI341" s="345">
        <f t="shared" si="212"/>
        <v>0</v>
      </c>
      <c r="AJ341" s="306">
        <f t="shared" si="213"/>
        <v>0</v>
      </c>
      <c r="AK341" s="306">
        <f t="shared" si="214"/>
        <v>0</v>
      </c>
      <c r="AL341" s="306">
        <f t="shared" si="215"/>
        <v>0</v>
      </c>
      <c r="AM341" s="749"/>
      <c r="AN341" s="763"/>
      <c r="AO341" s="780"/>
      <c r="AP341" s="896"/>
      <c r="AQ341" s="896"/>
      <c r="AR341" s="896"/>
      <c r="AS341" s="780"/>
      <c r="AT341" s="780"/>
      <c r="AU341" s="780"/>
      <c r="AV341" s="780"/>
      <c r="AW341" s="780"/>
      <c r="AX341" s="780"/>
      <c r="AY341" s="780"/>
      <c r="AZ341" s="780"/>
      <c r="BA341" s="780"/>
    </row>
    <row r="342" spans="1:53" x14ac:dyDescent="0.2">
      <c r="A342" s="346"/>
      <c r="B342" s="347"/>
      <c r="C342" s="358"/>
      <c r="D342" s="366"/>
      <c r="E342" s="366"/>
      <c r="F342" s="339"/>
      <c r="G342" s="1211">
        <f t="shared" si="195"/>
        <v>0</v>
      </c>
      <c r="H342" s="339"/>
      <c r="I342" s="339"/>
      <c r="J342" s="339"/>
      <c r="K342" s="339"/>
      <c r="L342" s="339"/>
      <c r="M342" s="339"/>
      <c r="N342" s="339"/>
      <c r="O342" s="339"/>
      <c r="P342" s="339"/>
      <c r="Q342" s="339"/>
      <c r="R342" s="1236">
        <f t="shared" si="196"/>
        <v>0</v>
      </c>
      <c r="S342" s="1237">
        <f t="shared" si="197"/>
        <v>0</v>
      </c>
      <c r="T342" s="341"/>
      <c r="U342" s="381">
        <f t="shared" si="198"/>
        <v>0</v>
      </c>
      <c r="V342" s="342">
        <f t="shared" si="199"/>
        <v>0</v>
      </c>
      <c r="W342" s="342">
        <f t="shared" si="200"/>
        <v>0</v>
      </c>
      <c r="X342" s="342">
        <f t="shared" si="201"/>
        <v>0</v>
      </c>
      <c r="Y342" s="382">
        <f t="shared" si="202"/>
        <v>0</v>
      </c>
      <c r="Z342" s="343">
        <f t="shared" si="203"/>
        <v>0</v>
      </c>
      <c r="AA342" s="343">
        <f t="shared" si="204"/>
        <v>0</v>
      </c>
      <c r="AB342" s="343">
        <f t="shared" si="205"/>
        <v>0</v>
      </c>
      <c r="AC342" s="383">
        <f t="shared" si="206"/>
        <v>0</v>
      </c>
      <c r="AD342" s="344">
        <f t="shared" si="207"/>
        <v>0</v>
      </c>
      <c r="AE342" s="344">
        <f t="shared" si="208"/>
        <v>0</v>
      </c>
      <c r="AF342" s="344">
        <f t="shared" si="209"/>
        <v>0</v>
      </c>
      <c r="AG342" s="345">
        <f t="shared" si="210"/>
        <v>0</v>
      </c>
      <c r="AH342" s="345">
        <f t="shared" si="211"/>
        <v>0</v>
      </c>
      <c r="AI342" s="345">
        <f t="shared" si="212"/>
        <v>0</v>
      </c>
      <c r="AJ342" s="306">
        <f t="shared" si="213"/>
        <v>0</v>
      </c>
      <c r="AK342" s="306">
        <f t="shared" si="214"/>
        <v>0</v>
      </c>
      <c r="AL342" s="306">
        <f t="shared" si="215"/>
        <v>0</v>
      </c>
      <c r="AM342" s="749"/>
      <c r="AN342" s="763"/>
      <c r="AO342" s="780"/>
      <c r="AP342" s="896"/>
      <c r="AQ342" s="896"/>
      <c r="AR342" s="896"/>
      <c r="AS342" s="780"/>
      <c r="AT342" s="780"/>
      <c r="AU342" s="780"/>
      <c r="AV342" s="780"/>
      <c r="AW342" s="780"/>
      <c r="AX342" s="780"/>
      <c r="AY342" s="780"/>
      <c r="AZ342" s="780"/>
      <c r="BA342" s="780"/>
    </row>
    <row r="343" spans="1:53" x14ac:dyDescent="0.2">
      <c r="A343" s="346"/>
      <c r="B343" s="347"/>
      <c r="C343" s="358"/>
      <c r="D343" s="366"/>
      <c r="E343" s="366"/>
      <c r="F343" s="339"/>
      <c r="G343" s="1211">
        <f t="shared" si="195"/>
        <v>0</v>
      </c>
      <c r="H343" s="339"/>
      <c r="I343" s="339"/>
      <c r="J343" s="339"/>
      <c r="K343" s="339"/>
      <c r="L343" s="339"/>
      <c r="M343" s="339"/>
      <c r="N343" s="339"/>
      <c r="O343" s="339"/>
      <c r="P343" s="339"/>
      <c r="Q343" s="339"/>
      <c r="R343" s="1236">
        <f t="shared" si="196"/>
        <v>0</v>
      </c>
      <c r="S343" s="1237">
        <f t="shared" si="197"/>
        <v>0</v>
      </c>
      <c r="T343" s="341"/>
      <c r="U343" s="381">
        <f t="shared" si="198"/>
        <v>0</v>
      </c>
      <c r="V343" s="342">
        <f t="shared" si="199"/>
        <v>0</v>
      </c>
      <c r="W343" s="342">
        <f t="shared" si="200"/>
        <v>0</v>
      </c>
      <c r="X343" s="342">
        <f t="shared" si="201"/>
        <v>0</v>
      </c>
      <c r="Y343" s="382">
        <f t="shared" si="202"/>
        <v>0</v>
      </c>
      <c r="Z343" s="343">
        <f t="shared" si="203"/>
        <v>0</v>
      </c>
      <c r="AA343" s="343">
        <f t="shared" si="204"/>
        <v>0</v>
      </c>
      <c r="AB343" s="343">
        <f t="shared" si="205"/>
        <v>0</v>
      </c>
      <c r="AC343" s="383">
        <f t="shared" si="206"/>
        <v>0</v>
      </c>
      <c r="AD343" s="344">
        <f t="shared" si="207"/>
        <v>0</v>
      </c>
      <c r="AE343" s="344">
        <f t="shared" si="208"/>
        <v>0</v>
      </c>
      <c r="AF343" s="344">
        <f t="shared" si="209"/>
        <v>0</v>
      </c>
      <c r="AG343" s="345">
        <f t="shared" si="210"/>
        <v>0</v>
      </c>
      <c r="AH343" s="345">
        <f t="shared" si="211"/>
        <v>0</v>
      </c>
      <c r="AI343" s="345">
        <f t="shared" si="212"/>
        <v>0</v>
      </c>
      <c r="AJ343" s="306">
        <f t="shared" si="213"/>
        <v>0</v>
      </c>
      <c r="AK343" s="306">
        <f t="shared" si="214"/>
        <v>0</v>
      </c>
      <c r="AL343" s="306">
        <f t="shared" si="215"/>
        <v>0</v>
      </c>
      <c r="AM343" s="749"/>
      <c r="AN343" s="763"/>
      <c r="AO343" s="780"/>
      <c r="AP343" s="896"/>
      <c r="AQ343" s="896"/>
      <c r="AR343" s="896"/>
      <c r="AS343" s="780"/>
      <c r="AT343" s="780"/>
      <c r="AU343" s="780"/>
      <c r="AV343" s="780"/>
      <c r="AW343" s="780"/>
      <c r="AX343" s="780"/>
      <c r="AY343" s="780"/>
      <c r="AZ343" s="780"/>
      <c r="BA343" s="780"/>
    </row>
    <row r="344" spans="1:53" x14ac:dyDescent="0.2">
      <c r="A344" s="346"/>
      <c r="B344" s="347"/>
      <c r="C344" s="358"/>
      <c r="D344" s="366"/>
      <c r="E344" s="366"/>
      <c r="F344" s="339"/>
      <c r="G344" s="1211">
        <f t="shared" si="195"/>
        <v>0</v>
      </c>
      <c r="H344" s="339"/>
      <c r="I344" s="339"/>
      <c r="J344" s="339"/>
      <c r="K344" s="339"/>
      <c r="L344" s="339"/>
      <c r="M344" s="339"/>
      <c r="N344" s="339"/>
      <c r="O344" s="339"/>
      <c r="P344" s="339"/>
      <c r="Q344" s="339"/>
      <c r="R344" s="1236">
        <f t="shared" si="196"/>
        <v>0</v>
      </c>
      <c r="S344" s="1237">
        <f t="shared" si="197"/>
        <v>0</v>
      </c>
      <c r="T344" s="341"/>
      <c r="U344" s="381">
        <f t="shared" si="198"/>
        <v>0</v>
      </c>
      <c r="V344" s="342">
        <f t="shared" si="199"/>
        <v>0</v>
      </c>
      <c r="W344" s="342">
        <f t="shared" si="200"/>
        <v>0</v>
      </c>
      <c r="X344" s="342">
        <f t="shared" si="201"/>
        <v>0</v>
      </c>
      <c r="Y344" s="382">
        <f t="shared" si="202"/>
        <v>0</v>
      </c>
      <c r="Z344" s="343">
        <f t="shared" si="203"/>
        <v>0</v>
      </c>
      <c r="AA344" s="343">
        <f t="shared" si="204"/>
        <v>0</v>
      </c>
      <c r="AB344" s="343">
        <f t="shared" si="205"/>
        <v>0</v>
      </c>
      <c r="AC344" s="383">
        <f t="shared" si="206"/>
        <v>0</v>
      </c>
      <c r="AD344" s="344">
        <f t="shared" si="207"/>
        <v>0</v>
      </c>
      <c r="AE344" s="344">
        <f t="shared" si="208"/>
        <v>0</v>
      </c>
      <c r="AF344" s="344">
        <f t="shared" si="209"/>
        <v>0</v>
      </c>
      <c r="AG344" s="345">
        <f t="shared" si="210"/>
        <v>0</v>
      </c>
      <c r="AH344" s="345">
        <f t="shared" si="211"/>
        <v>0</v>
      </c>
      <c r="AI344" s="345">
        <f t="shared" si="212"/>
        <v>0</v>
      </c>
      <c r="AJ344" s="306">
        <f t="shared" si="213"/>
        <v>0</v>
      </c>
      <c r="AK344" s="306">
        <f t="shared" si="214"/>
        <v>0</v>
      </c>
      <c r="AL344" s="306">
        <f t="shared" si="215"/>
        <v>0</v>
      </c>
      <c r="AM344" s="749"/>
      <c r="AN344" s="763"/>
      <c r="AO344" s="780"/>
      <c r="AP344" s="896"/>
      <c r="AQ344" s="896"/>
      <c r="AR344" s="896"/>
      <c r="AS344" s="780"/>
      <c r="AT344" s="780"/>
      <c r="AU344" s="780"/>
      <c r="AV344" s="780"/>
      <c r="AW344" s="780"/>
      <c r="AX344" s="780"/>
      <c r="AY344" s="780"/>
      <c r="AZ344" s="780"/>
      <c r="BA344" s="780"/>
    </row>
    <row r="345" spans="1:53" x14ac:dyDescent="0.2">
      <c r="A345" s="346"/>
      <c r="B345" s="347"/>
      <c r="C345" s="358"/>
      <c r="D345" s="366"/>
      <c r="E345" s="366"/>
      <c r="F345" s="339"/>
      <c r="G345" s="1211">
        <f t="shared" si="195"/>
        <v>0</v>
      </c>
      <c r="H345" s="339"/>
      <c r="I345" s="339"/>
      <c r="J345" s="339"/>
      <c r="K345" s="339"/>
      <c r="L345" s="339"/>
      <c r="M345" s="339"/>
      <c r="N345" s="339"/>
      <c r="O345" s="339"/>
      <c r="P345" s="339"/>
      <c r="Q345" s="339"/>
      <c r="R345" s="1236">
        <f t="shared" si="196"/>
        <v>0</v>
      </c>
      <c r="S345" s="1237">
        <f t="shared" si="197"/>
        <v>0</v>
      </c>
      <c r="T345" s="341"/>
      <c r="U345" s="381">
        <f t="shared" si="198"/>
        <v>0</v>
      </c>
      <c r="V345" s="342">
        <f t="shared" si="199"/>
        <v>0</v>
      </c>
      <c r="W345" s="342">
        <f t="shared" si="200"/>
        <v>0</v>
      </c>
      <c r="X345" s="342">
        <f t="shared" si="201"/>
        <v>0</v>
      </c>
      <c r="Y345" s="382">
        <f t="shared" si="202"/>
        <v>0</v>
      </c>
      <c r="Z345" s="343">
        <f t="shared" si="203"/>
        <v>0</v>
      </c>
      <c r="AA345" s="343">
        <f t="shared" si="204"/>
        <v>0</v>
      </c>
      <c r="AB345" s="343">
        <f t="shared" si="205"/>
        <v>0</v>
      </c>
      <c r="AC345" s="383">
        <f t="shared" si="206"/>
        <v>0</v>
      </c>
      <c r="AD345" s="344">
        <f t="shared" si="207"/>
        <v>0</v>
      </c>
      <c r="AE345" s="344">
        <f t="shared" si="208"/>
        <v>0</v>
      </c>
      <c r="AF345" s="344">
        <f t="shared" si="209"/>
        <v>0</v>
      </c>
      <c r="AG345" s="345">
        <f t="shared" si="210"/>
        <v>0</v>
      </c>
      <c r="AH345" s="345">
        <f t="shared" si="211"/>
        <v>0</v>
      </c>
      <c r="AI345" s="345">
        <f t="shared" si="212"/>
        <v>0</v>
      </c>
      <c r="AJ345" s="306">
        <f t="shared" si="213"/>
        <v>0</v>
      </c>
      <c r="AK345" s="306">
        <f t="shared" si="214"/>
        <v>0</v>
      </c>
      <c r="AL345" s="306">
        <f t="shared" si="215"/>
        <v>0</v>
      </c>
      <c r="AM345" s="749"/>
      <c r="AN345" s="763"/>
      <c r="AO345" s="780"/>
      <c r="AP345" s="896"/>
      <c r="AQ345" s="896"/>
      <c r="AR345" s="896"/>
      <c r="AS345" s="780"/>
      <c r="AT345" s="780"/>
      <c r="AU345" s="780"/>
      <c r="AV345" s="780"/>
      <c r="AW345" s="780"/>
      <c r="AX345" s="780"/>
      <c r="AY345" s="780"/>
      <c r="AZ345" s="780"/>
      <c r="BA345" s="780"/>
    </row>
    <row r="346" spans="1:53" x14ac:dyDescent="0.2">
      <c r="A346" s="346"/>
      <c r="B346" s="347"/>
      <c r="C346" s="358"/>
      <c r="D346" s="366"/>
      <c r="E346" s="366"/>
      <c r="F346" s="339"/>
      <c r="G346" s="1211">
        <f t="shared" si="195"/>
        <v>0</v>
      </c>
      <c r="H346" s="339"/>
      <c r="I346" s="339"/>
      <c r="J346" s="339"/>
      <c r="K346" s="339"/>
      <c r="L346" s="339"/>
      <c r="M346" s="339"/>
      <c r="N346" s="339"/>
      <c r="O346" s="339"/>
      <c r="P346" s="339"/>
      <c r="Q346" s="339"/>
      <c r="R346" s="1236">
        <f t="shared" si="196"/>
        <v>0</v>
      </c>
      <c r="S346" s="1237">
        <f t="shared" si="197"/>
        <v>0</v>
      </c>
      <c r="T346" s="341"/>
      <c r="U346" s="381">
        <f t="shared" si="198"/>
        <v>0</v>
      </c>
      <c r="V346" s="342">
        <f t="shared" si="199"/>
        <v>0</v>
      </c>
      <c r="W346" s="342">
        <f t="shared" si="200"/>
        <v>0</v>
      </c>
      <c r="X346" s="342">
        <f t="shared" si="201"/>
        <v>0</v>
      </c>
      <c r="Y346" s="382">
        <f t="shared" si="202"/>
        <v>0</v>
      </c>
      <c r="Z346" s="343">
        <f t="shared" si="203"/>
        <v>0</v>
      </c>
      <c r="AA346" s="343">
        <f t="shared" si="204"/>
        <v>0</v>
      </c>
      <c r="AB346" s="343">
        <f t="shared" si="205"/>
        <v>0</v>
      </c>
      <c r="AC346" s="383">
        <f t="shared" si="206"/>
        <v>0</v>
      </c>
      <c r="AD346" s="344">
        <f t="shared" si="207"/>
        <v>0</v>
      </c>
      <c r="AE346" s="344">
        <f t="shared" si="208"/>
        <v>0</v>
      </c>
      <c r="AF346" s="344">
        <f t="shared" si="209"/>
        <v>0</v>
      </c>
      <c r="AG346" s="345">
        <f t="shared" si="210"/>
        <v>0</v>
      </c>
      <c r="AH346" s="345">
        <f t="shared" si="211"/>
        <v>0</v>
      </c>
      <c r="AI346" s="345">
        <f t="shared" si="212"/>
        <v>0</v>
      </c>
      <c r="AJ346" s="306">
        <f t="shared" si="213"/>
        <v>0</v>
      </c>
      <c r="AK346" s="306">
        <f t="shared" si="214"/>
        <v>0</v>
      </c>
      <c r="AL346" s="306">
        <f t="shared" si="215"/>
        <v>0</v>
      </c>
      <c r="AM346" s="749"/>
      <c r="AN346" s="763"/>
      <c r="AO346" s="780"/>
      <c r="AP346" s="896"/>
      <c r="AQ346" s="896"/>
      <c r="AR346" s="896"/>
      <c r="AS346" s="780"/>
      <c r="AT346" s="780"/>
      <c r="AU346" s="780"/>
      <c r="AV346" s="780"/>
      <c r="AW346" s="780"/>
      <c r="AX346" s="780"/>
      <c r="AY346" s="780"/>
      <c r="AZ346" s="780"/>
      <c r="BA346" s="780"/>
    </row>
    <row r="347" spans="1:53" x14ac:dyDescent="0.2">
      <c r="A347" s="346"/>
      <c r="B347" s="347"/>
      <c r="C347" s="358"/>
      <c r="D347" s="366"/>
      <c r="E347" s="366"/>
      <c r="F347" s="339"/>
      <c r="G347" s="1211">
        <f t="shared" si="195"/>
        <v>0</v>
      </c>
      <c r="H347" s="339"/>
      <c r="I347" s="339"/>
      <c r="J347" s="339"/>
      <c r="K347" s="339"/>
      <c r="L347" s="339"/>
      <c r="M347" s="339"/>
      <c r="N347" s="339"/>
      <c r="O347" s="339"/>
      <c r="P347" s="339"/>
      <c r="Q347" s="339"/>
      <c r="R347" s="1236">
        <f t="shared" si="196"/>
        <v>0</v>
      </c>
      <c r="S347" s="1237">
        <f t="shared" si="197"/>
        <v>0</v>
      </c>
      <c r="T347" s="341"/>
      <c r="U347" s="381">
        <f t="shared" si="198"/>
        <v>0</v>
      </c>
      <c r="V347" s="342">
        <f t="shared" si="199"/>
        <v>0</v>
      </c>
      <c r="W347" s="342">
        <f t="shared" si="200"/>
        <v>0</v>
      </c>
      <c r="X347" s="342">
        <f t="shared" si="201"/>
        <v>0</v>
      </c>
      <c r="Y347" s="382">
        <f t="shared" si="202"/>
        <v>0</v>
      </c>
      <c r="Z347" s="343">
        <f t="shared" si="203"/>
        <v>0</v>
      </c>
      <c r="AA347" s="343">
        <f t="shared" si="204"/>
        <v>0</v>
      </c>
      <c r="AB347" s="343">
        <f t="shared" si="205"/>
        <v>0</v>
      </c>
      <c r="AC347" s="383">
        <f t="shared" si="206"/>
        <v>0</v>
      </c>
      <c r="AD347" s="344">
        <f t="shared" si="207"/>
        <v>0</v>
      </c>
      <c r="AE347" s="344">
        <f t="shared" si="208"/>
        <v>0</v>
      </c>
      <c r="AF347" s="344">
        <f t="shared" si="209"/>
        <v>0</v>
      </c>
      <c r="AG347" s="345">
        <f t="shared" si="210"/>
        <v>0</v>
      </c>
      <c r="AH347" s="345">
        <f t="shared" si="211"/>
        <v>0</v>
      </c>
      <c r="AI347" s="345">
        <f t="shared" si="212"/>
        <v>0</v>
      </c>
      <c r="AJ347" s="306">
        <f t="shared" si="213"/>
        <v>0</v>
      </c>
      <c r="AK347" s="306">
        <f t="shared" si="214"/>
        <v>0</v>
      </c>
      <c r="AL347" s="306">
        <f t="shared" si="215"/>
        <v>0</v>
      </c>
      <c r="AM347" s="749"/>
      <c r="AN347" s="763"/>
      <c r="AO347" s="780"/>
      <c r="AP347" s="896"/>
      <c r="AQ347" s="896"/>
      <c r="AR347" s="896"/>
      <c r="AS347" s="780"/>
      <c r="AT347" s="780"/>
      <c r="AU347" s="780"/>
      <c r="AV347" s="780"/>
      <c r="AW347" s="780"/>
      <c r="AX347" s="780"/>
      <c r="AY347" s="780"/>
      <c r="AZ347" s="780"/>
      <c r="BA347" s="780"/>
    </row>
    <row r="348" spans="1:53" x14ac:dyDescent="0.2">
      <c r="A348" s="346"/>
      <c r="B348" s="347"/>
      <c r="C348" s="358"/>
      <c r="D348" s="366"/>
      <c r="E348" s="366"/>
      <c r="F348" s="339"/>
      <c r="G348" s="1211">
        <f t="shared" si="195"/>
        <v>0</v>
      </c>
      <c r="H348" s="339"/>
      <c r="I348" s="339"/>
      <c r="J348" s="339"/>
      <c r="K348" s="339"/>
      <c r="L348" s="339"/>
      <c r="M348" s="339"/>
      <c r="N348" s="339"/>
      <c r="O348" s="339"/>
      <c r="P348" s="339"/>
      <c r="Q348" s="339"/>
      <c r="R348" s="1236">
        <f t="shared" si="196"/>
        <v>0</v>
      </c>
      <c r="S348" s="1237">
        <f t="shared" si="197"/>
        <v>0</v>
      </c>
      <c r="T348" s="341"/>
      <c r="U348" s="381">
        <f t="shared" si="198"/>
        <v>0</v>
      </c>
      <c r="V348" s="342">
        <f t="shared" si="199"/>
        <v>0</v>
      </c>
      <c r="W348" s="342">
        <f t="shared" si="200"/>
        <v>0</v>
      </c>
      <c r="X348" s="342">
        <f t="shared" si="201"/>
        <v>0</v>
      </c>
      <c r="Y348" s="382">
        <f t="shared" si="202"/>
        <v>0</v>
      </c>
      <c r="Z348" s="343">
        <f t="shared" si="203"/>
        <v>0</v>
      </c>
      <c r="AA348" s="343">
        <f t="shared" si="204"/>
        <v>0</v>
      </c>
      <c r="AB348" s="343">
        <f t="shared" si="205"/>
        <v>0</v>
      </c>
      <c r="AC348" s="383">
        <f t="shared" si="206"/>
        <v>0</v>
      </c>
      <c r="AD348" s="344">
        <f t="shared" si="207"/>
        <v>0</v>
      </c>
      <c r="AE348" s="344">
        <f t="shared" si="208"/>
        <v>0</v>
      </c>
      <c r="AF348" s="344">
        <f t="shared" si="209"/>
        <v>0</v>
      </c>
      <c r="AG348" s="345">
        <f t="shared" si="210"/>
        <v>0</v>
      </c>
      <c r="AH348" s="345">
        <f t="shared" si="211"/>
        <v>0</v>
      </c>
      <c r="AI348" s="345">
        <f t="shared" si="212"/>
        <v>0</v>
      </c>
      <c r="AJ348" s="306">
        <f t="shared" si="213"/>
        <v>0</v>
      </c>
      <c r="AK348" s="306">
        <f t="shared" si="214"/>
        <v>0</v>
      </c>
      <c r="AL348" s="306">
        <f t="shared" si="215"/>
        <v>0</v>
      </c>
      <c r="AM348" s="749"/>
      <c r="AN348" s="763"/>
      <c r="AO348" s="780"/>
      <c r="AP348" s="896"/>
      <c r="AQ348" s="896"/>
      <c r="AR348" s="896"/>
      <c r="AS348" s="780"/>
      <c r="AT348" s="780"/>
      <c r="AU348" s="780"/>
      <c r="AV348" s="780"/>
      <c r="AW348" s="780"/>
      <c r="AX348" s="780"/>
      <c r="AY348" s="780"/>
      <c r="AZ348" s="780"/>
      <c r="BA348" s="780"/>
    </row>
    <row r="349" spans="1:53" x14ac:dyDescent="0.2">
      <c r="A349" s="346"/>
      <c r="B349" s="347"/>
      <c r="C349" s="358"/>
      <c r="D349" s="366"/>
      <c r="E349" s="366"/>
      <c r="F349" s="339"/>
      <c r="G349" s="1211">
        <f t="shared" si="195"/>
        <v>0</v>
      </c>
      <c r="H349" s="339"/>
      <c r="I349" s="339"/>
      <c r="J349" s="339"/>
      <c r="K349" s="339"/>
      <c r="L349" s="339"/>
      <c r="M349" s="339"/>
      <c r="N349" s="339"/>
      <c r="O349" s="339"/>
      <c r="P349" s="339"/>
      <c r="Q349" s="339"/>
      <c r="R349" s="1236">
        <f t="shared" si="196"/>
        <v>0</v>
      </c>
      <c r="S349" s="1237">
        <f t="shared" si="197"/>
        <v>0</v>
      </c>
      <c r="T349" s="341"/>
      <c r="U349" s="381">
        <f t="shared" si="198"/>
        <v>0</v>
      </c>
      <c r="V349" s="342">
        <f t="shared" si="199"/>
        <v>0</v>
      </c>
      <c r="W349" s="342">
        <f t="shared" si="200"/>
        <v>0</v>
      </c>
      <c r="X349" s="342">
        <f t="shared" si="201"/>
        <v>0</v>
      </c>
      <c r="Y349" s="382">
        <f t="shared" si="202"/>
        <v>0</v>
      </c>
      <c r="Z349" s="343">
        <f t="shared" si="203"/>
        <v>0</v>
      </c>
      <c r="AA349" s="343">
        <f t="shared" si="204"/>
        <v>0</v>
      </c>
      <c r="AB349" s="343">
        <f t="shared" si="205"/>
        <v>0</v>
      </c>
      <c r="AC349" s="383">
        <f t="shared" si="206"/>
        <v>0</v>
      </c>
      <c r="AD349" s="344">
        <f t="shared" si="207"/>
        <v>0</v>
      </c>
      <c r="AE349" s="344">
        <f t="shared" si="208"/>
        <v>0</v>
      </c>
      <c r="AF349" s="344">
        <f t="shared" si="209"/>
        <v>0</v>
      </c>
      <c r="AG349" s="345">
        <f t="shared" si="210"/>
        <v>0</v>
      </c>
      <c r="AH349" s="345">
        <f t="shared" si="211"/>
        <v>0</v>
      </c>
      <c r="AI349" s="345">
        <f t="shared" si="212"/>
        <v>0</v>
      </c>
      <c r="AJ349" s="306">
        <f t="shared" si="213"/>
        <v>0</v>
      </c>
      <c r="AK349" s="306">
        <f t="shared" si="214"/>
        <v>0</v>
      </c>
      <c r="AL349" s="306">
        <f t="shared" si="215"/>
        <v>0</v>
      </c>
      <c r="AM349" s="749"/>
      <c r="AN349" s="763"/>
      <c r="AO349" s="780"/>
      <c r="AP349" s="896"/>
      <c r="AQ349" s="896"/>
      <c r="AR349" s="896"/>
      <c r="AS349" s="780"/>
      <c r="AT349" s="780"/>
      <c r="AU349" s="780"/>
      <c r="AV349" s="780"/>
      <c r="AW349" s="780"/>
      <c r="AX349" s="780"/>
      <c r="AY349" s="780"/>
      <c r="AZ349" s="780"/>
      <c r="BA349" s="780"/>
    </row>
    <row r="350" spans="1:53" x14ac:dyDescent="0.2">
      <c r="A350" s="346"/>
      <c r="B350" s="347"/>
      <c r="C350" s="358"/>
      <c r="D350" s="366"/>
      <c r="E350" s="366"/>
      <c r="F350" s="339"/>
      <c r="G350" s="1211">
        <f t="shared" si="195"/>
        <v>0</v>
      </c>
      <c r="H350" s="339"/>
      <c r="I350" s="339"/>
      <c r="J350" s="339"/>
      <c r="K350" s="339"/>
      <c r="L350" s="339"/>
      <c r="M350" s="339"/>
      <c r="N350" s="339"/>
      <c r="O350" s="339"/>
      <c r="P350" s="339"/>
      <c r="Q350" s="339"/>
      <c r="R350" s="1236">
        <f t="shared" si="196"/>
        <v>0</v>
      </c>
      <c r="S350" s="1237">
        <f t="shared" si="197"/>
        <v>0</v>
      </c>
      <c r="T350" s="341"/>
      <c r="U350" s="381">
        <f t="shared" si="198"/>
        <v>0</v>
      </c>
      <c r="V350" s="342">
        <f t="shared" si="199"/>
        <v>0</v>
      </c>
      <c r="W350" s="342">
        <f t="shared" si="200"/>
        <v>0</v>
      </c>
      <c r="X350" s="342">
        <f t="shared" si="201"/>
        <v>0</v>
      </c>
      <c r="Y350" s="382">
        <f t="shared" si="202"/>
        <v>0</v>
      </c>
      <c r="Z350" s="343">
        <f t="shared" si="203"/>
        <v>0</v>
      </c>
      <c r="AA350" s="343">
        <f t="shared" si="204"/>
        <v>0</v>
      </c>
      <c r="AB350" s="343">
        <f t="shared" si="205"/>
        <v>0</v>
      </c>
      <c r="AC350" s="383">
        <f t="shared" si="206"/>
        <v>0</v>
      </c>
      <c r="AD350" s="344">
        <f t="shared" si="207"/>
        <v>0</v>
      </c>
      <c r="AE350" s="344">
        <f t="shared" si="208"/>
        <v>0</v>
      </c>
      <c r="AF350" s="344">
        <f t="shared" si="209"/>
        <v>0</v>
      </c>
      <c r="AG350" s="345">
        <f t="shared" si="210"/>
        <v>0</v>
      </c>
      <c r="AH350" s="345">
        <f t="shared" si="211"/>
        <v>0</v>
      </c>
      <c r="AI350" s="345">
        <f t="shared" si="212"/>
        <v>0</v>
      </c>
      <c r="AJ350" s="306">
        <f t="shared" si="213"/>
        <v>0</v>
      </c>
      <c r="AK350" s="306">
        <f t="shared" si="214"/>
        <v>0</v>
      </c>
      <c r="AL350" s="306">
        <f t="shared" si="215"/>
        <v>0</v>
      </c>
      <c r="AM350" s="749"/>
      <c r="AN350" s="763"/>
      <c r="AO350" s="780"/>
      <c r="AP350" s="896"/>
      <c r="AQ350" s="896"/>
      <c r="AR350" s="896"/>
      <c r="AS350" s="780"/>
      <c r="AT350" s="780"/>
      <c r="AU350" s="780"/>
      <c r="AV350" s="780"/>
      <c r="AW350" s="780"/>
      <c r="AX350" s="780"/>
      <c r="AY350" s="780"/>
      <c r="AZ350" s="780"/>
      <c r="BA350" s="780"/>
    </row>
    <row r="351" spans="1:53" x14ac:dyDescent="0.2">
      <c r="A351" s="346"/>
      <c r="B351" s="347"/>
      <c r="C351" s="358"/>
      <c r="D351" s="366"/>
      <c r="E351" s="366"/>
      <c r="F351" s="339"/>
      <c r="G351" s="1211">
        <f t="shared" si="195"/>
        <v>0</v>
      </c>
      <c r="H351" s="339"/>
      <c r="I351" s="339"/>
      <c r="J351" s="339"/>
      <c r="K351" s="339"/>
      <c r="L351" s="339"/>
      <c r="M351" s="339"/>
      <c r="N351" s="339"/>
      <c r="O351" s="339"/>
      <c r="P351" s="339"/>
      <c r="Q351" s="339"/>
      <c r="R351" s="1236">
        <f t="shared" si="196"/>
        <v>0</v>
      </c>
      <c r="S351" s="1237">
        <f t="shared" si="197"/>
        <v>0</v>
      </c>
      <c r="T351" s="341"/>
      <c r="U351" s="381">
        <f t="shared" si="198"/>
        <v>0</v>
      </c>
      <c r="V351" s="342">
        <f t="shared" si="199"/>
        <v>0</v>
      </c>
      <c r="W351" s="342">
        <f t="shared" si="200"/>
        <v>0</v>
      </c>
      <c r="X351" s="342">
        <f t="shared" si="201"/>
        <v>0</v>
      </c>
      <c r="Y351" s="382">
        <f t="shared" si="202"/>
        <v>0</v>
      </c>
      <c r="Z351" s="343">
        <f t="shared" si="203"/>
        <v>0</v>
      </c>
      <c r="AA351" s="343">
        <f t="shared" si="204"/>
        <v>0</v>
      </c>
      <c r="AB351" s="343">
        <f t="shared" si="205"/>
        <v>0</v>
      </c>
      <c r="AC351" s="383">
        <f t="shared" si="206"/>
        <v>0</v>
      </c>
      <c r="AD351" s="344">
        <f t="shared" si="207"/>
        <v>0</v>
      </c>
      <c r="AE351" s="344">
        <f t="shared" si="208"/>
        <v>0</v>
      </c>
      <c r="AF351" s="344">
        <f t="shared" si="209"/>
        <v>0</v>
      </c>
      <c r="AG351" s="345">
        <f t="shared" si="210"/>
        <v>0</v>
      </c>
      <c r="AH351" s="345">
        <f t="shared" si="211"/>
        <v>0</v>
      </c>
      <c r="AI351" s="345">
        <f t="shared" si="212"/>
        <v>0</v>
      </c>
      <c r="AJ351" s="306">
        <f t="shared" si="213"/>
        <v>0</v>
      </c>
      <c r="AK351" s="306">
        <f t="shared" si="214"/>
        <v>0</v>
      </c>
      <c r="AL351" s="306">
        <f t="shared" si="215"/>
        <v>0</v>
      </c>
      <c r="AM351" s="749"/>
      <c r="AN351" s="763"/>
      <c r="AO351" s="780"/>
      <c r="AP351" s="896"/>
      <c r="AQ351" s="896"/>
      <c r="AR351" s="896"/>
      <c r="AS351" s="780"/>
      <c r="AT351" s="780"/>
      <c r="AU351" s="780"/>
      <c r="AV351" s="780"/>
      <c r="AW351" s="780"/>
      <c r="AX351" s="780"/>
      <c r="AY351" s="780"/>
      <c r="AZ351" s="780"/>
      <c r="BA351" s="780"/>
    </row>
    <row r="352" spans="1:53" x14ac:dyDescent="0.2">
      <c r="A352" s="346"/>
      <c r="B352" s="347"/>
      <c r="C352" s="358"/>
      <c r="D352" s="366"/>
      <c r="E352" s="366"/>
      <c r="F352" s="339"/>
      <c r="G352" s="1211">
        <f t="shared" si="195"/>
        <v>0</v>
      </c>
      <c r="H352" s="339"/>
      <c r="I352" s="339"/>
      <c r="J352" s="339"/>
      <c r="K352" s="339"/>
      <c r="L352" s="339"/>
      <c r="M352" s="339"/>
      <c r="N352" s="339"/>
      <c r="O352" s="339"/>
      <c r="P352" s="339"/>
      <c r="Q352" s="339"/>
      <c r="R352" s="1236">
        <f t="shared" si="196"/>
        <v>0</v>
      </c>
      <c r="S352" s="1237">
        <f t="shared" si="197"/>
        <v>0</v>
      </c>
      <c r="T352" s="341"/>
      <c r="U352" s="381">
        <f t="shared" si="198"/>
        <v>0</v>
      </c>
      <c r="V352" s="342">
        <f t="shared" si="199"/>
        <v>0</v>
      </c>
      <c r="W352" s="342">
        <f t="shared" si="200"/>
        <v>0</v>
      </c>
      <c r="X352" s="342">
        <f t="shared" si="201"/>
        <v>0</v>
      </c>
      <c r="Y352" s="382">
        <f t="shared" si="202"/>
        <v>0</v>
      </c>
      <c r="Z352" s="343">
        <f t="shared" si="203"/>
        <v>0</v>
      </c>
      <c r="AA352" s="343">
        <f t="shared" si="204"/>
        <v>0</v>
      </c>
      <c r="AB352" s="343">
        <f t="shared" si="205"/>
        <v>0</v>
      </c>
      <c r="AC352" s="383">
        <f t="shared" si="206"/>
        <v>0</v>
      </c>
      <c r="AD352" s="344">
        <f t="shared" si="207"/>
        <v>0</v>
      </c>
      <c r="AE352" s="344">
        <f t="shared" si="208"/>
        <v>0</v>
      </c>
      <c r="AF352" s="344">
        <f t="shared" si="209"/>
        <v>0</v>
      </c>
      <c r="AG352" s="345">
        <f t="shared" si="210"/>
        <v>0</v>
      </c>
      <c r="AH352" s="345">
        <f t="shared" si="211"/>
        <v>0</v>
      </c>
      <c r="AI352" s="345">
        <f t="shared" si="212"/>
        <v>0</v>
      </c>
      <c r="AJ352" s="306">
        <f t="shared" si="213"/>
        <v>0</v>
      </c>
      <c r="AK352" s="306">
        <f t="shared" si="214"/>
        <v>0</v>
      </c>
      <c r="AL352" s="306">
        <f t="shared" si="215"/>
        <v>0</v>
      </c>
      <c r="AM352" s="749"/>
      <c r="AN352" s="763"/>
      <c r="AO352" s="780"/>
      <c r="AP352" s="896"/>
      <c r="AQ352" s="896"/>
      <c r="AR352" s="896"/>
      <c r="AS352" s="780"/>
      <c r="AT352" s="780"/>
      <c r="AU352" s="780"/>
      <c r="AV352" s="780"/>
      <c r="AW352" s="780"/>
      <c r="AX352" s="780"/>
      <c r="AY352" s="780"/>
      <c r="AZ352" s="780"/>
      <c r="BA352" s="780"/>
    </row>
    <row r="353" spans="1:58" x14ac:dyDescent="0.2">
      <c r="A353" s="346"/>
      <c r="B353" s="347"/>
      <c r="C353" s="358"/>
      <c r="D353" s="366"/>
      <c r="E353" s="366"/>
      <c r="F353" s="339"/>
      <c r="G353" s="1211">
        <f t="shared" si="195"/>
        <v>0</v>
      </c>
      <c r="H353" s="339"/>
      <c r="I353" s="339"/>
      <c r="J353" s="339"/>
      <c r="K353" s="339"/>
      <c r="L353" s="339"/>
      <c r="M353" s="339"/>
      <c r="N353" s="339"/>
      <c r="O353" s="339"/>
      <c r="P353" s="339"/>
      <c r="Q353" s="339"/>
      <c r="R353" s="1236">
        <f t="shared" si="196"/>
        <v>0</v>
      </c>
      <c r="S353" s="1237">
        <f t="shared" si="197"/>
        <v>0</v>
      </c>
      <c r="T353" s="341"/>
      <c r="U353" s="381">
        <f t="shared" si="198"/>
        <v>0</v>
      </c>
      <c r="V353" s="342">
        <f t="shared" si="199"/>
        <v>0</v>
      </c>
      <c r="W353" s="342">
        <f t="shared" si="200"/>
        <v>0</v>
      </c>
      <c r="X353" s="342">
        <f t="shared" si="201"/>
        <v>0</v>
      </c>
      <c r="Y353" s="382">
        <f t="shared" si="202"/>
        <v>0</v>
      </c>
      <c r="Z353" s="343">
        <f t="shared" si="203"/>
        <v>0</v>
      </c>
      <c r="AA353" s="343">
        <f t="shared" si="204"/>
        <v>0</v>
      </c>
      <c r="AB353" s="343">
        <f t="shared" si="205"/>
        <v>0</v>
      </c>
      <c r="AC353" s="383">
        <f t="shared" si="206"/>
        <v>0</v>
      </c>
      <c r="AD353" s="344">
        <f t="shared" si="207"/>
        <v>0</v>
      </c>
      <c r="AE353" s="344">
        <f t="shared" si="208"/>
        <v>0</v>
      </c>
      <c r="AF353" s="344">
        <f t="shared" si="209"/>
        <v>0</v>
      </c>
      <c r="AG353" s="345">
        <f t="shared" si="210"/>
        <v>0</v>
      </c>
      <c r="AH353" s="345">
        <f t="shared" si="211"/>
        <v>0</v>
      </c>
      <c r="AI353" s="345">
        <f t="shared" si="212"/>
        <v>0</v>
      </c>
      <c r="AJ353" s="306">
        <f t="shared" si="213"/>
        <v>0</v>
      </c>
      <c r="AK353" s="306">
        <f t="shared" si="214"/>
        <v>0</v>
      </c>
      <c r="AL353" s="306">
        <f t="shared" si="215"/>
        <v>0</v>
      </c>
      <c r="AM353" s="749"/>
      <c r="AN353" s="763"/>
      <c r="AO353" s="780"/>
      <c r="AP353" s="896"/>
      <c r="AQ353" s="896"/>
      <c r="AR353" s="896"/>
      <c r="AS353" s="780"/>
      <c r="AT353" s="780"/>
      <c r="AU353" s="780"/>
      <c r="AV353" s="780"/>
      <c r="AW353" s="780"/>
      <c r="AX353" s="780"/>
      <c r="AY353" s="780"/>
      <c r="AZ353" s="780"/>
      <c r="BA353" s="780"/>
    </row>
    <row r="354" spans="1:58" x14ac:dyDescent="0.2">
      <c r="A354" s="346"/>
      <c r="B354" s="347"/>
      <c r="C354" s="358"/>
      <c r="D354" s="366"/>
      <c r="E354" s="366"/>
      <c r="F354" s="339"/>
      <c r="G354" s="1211">
        <f t="shared" si="195"/>
        <v>0</v>
      </c>
      <c r="H354" s="339"/>
      <c r="I354" s="339"/>
      <c r="J354" s="339"/>
      <c r="K354" s="339"/>
      <c r="L354" s="339"/>
      <c r="M354" s="339"/>
      <c r="N354" s="339"/>
      <c r="O354" s="339"/>
      <c r="P354" s="339"/>
      <c r="Q354" s="339"/>
      <c r="R354" s="1236">
        <f t="shared" si="196"/>
        <v>0</v>
      </c>
      <c r="S354" s="1237">
        <f t="shared" si="197"/>
        <v>0</v>
      </c>
      <c r="T354" s="341"/>
      <c r="U354" s="381">
        <f t="shared" si="198"/>
        <v>0</v>
      </c>
      <c r="V354" s="342">
        <f t="shared" si="199"/>
        <v>0</v>
      </c>
      <c r="W354" s="342">
        <f t="shared" si="200"/>
        <v>0</v>
      </c>
      <c r="X354" s="342">
        <f t="shared" si="201"/>
        <v>0</v>
      </c>
      <c r="Y354" s="382">
        <f t="shared" si="202"/>
        <v>0</v>
      </c>
      <c r="Z354" s="343">
        <f t="shared" si="203"/>
        <v>0</v>
      </c>
      <c r="AA354" s="343">
        <f t="shared" si="204"/>
        <v>0</v>
      </c>
      <c r="AB354" s="343">
        <f t="shared" si="205"/>
        <v>0</v>
      </c>
      <c r="AC354" s="383">
        <f t="shared" si="206"/>
        <v>0</v>
      </c>
      <c r="AD354" s="344">
        <f t="shared" si="207"/>
        <v>0</v>
      </c>
      <c r="AE354" s="344">
        <f t="shared" si="208"/>
        <v>0</v>
      </c>
      <c r="AF354" s="344">
        <f t="shared" si="209"/>
        <v>0</v>
      </c>
      <c r="AG354" s="345">
        <f t="shared" si="210"/>
        <v>0</v>
      </c>
      <c r="AH354" s="345">
        <f t="shared" si="211"/>
        <v>0</v>
      </c>
      <c r="AI354" s="345">
        <f t="shared" si="212"/>
        <v>0</v>
      </c>
      <c r="AJ354" s="306">
        <f t="shared" si="213"/>
        <v>0</v>
      </c>
      <c r="AK354" s="306">
        <f t="shared" si="214"/>
        <v>0</v>
      </c>
      <c r="AL354" s="306">
        <f t="shared" si="215"/>
        <v>0</v>
      </c>
      <c r="AM354" s="749"/>
      <c r="AN354" s="763"/>
      <c r="AO354" s="780"/>
      <c r="AP354" s="896"/>
      <c r="AQ354" s="896"/>
      <c r="AR354" s="896"/>
      <c r="AS354" s="780"/>
      <c r="AT354" s="780"/>
      <c r="AU354" s="780"/>
      <c r="AV354" s="780"/>
      <c r="AW354" s="780"/>
      <c r="AX354" s="780"/>
      <c r="AY354" s="780"/>
      <c r="AZ354" s="780"/>
      <c r="BA354" s="780"/>
    </row>
    <row r="355" spans="1:58" x14ac:dyDescent="0.2">
      <c r="A355" s="346"/>
      <c r="B355" s="347"/>
      <c r="C355" s="358"/>
      <c r="D355" s="366"/>
      <c r="E355" s="366"/>
      <c r="F355" s="339"/>
      <c r="G355" s="1211">
        <f t="shared" si="195"/>
        <v>0</v>
      </c>
      <c r="H355" s="339"/>
      <c r="I355" s="339"/>
      <c r="J355" s="339"/>
      <c r="K355" s="339"/>
      <c r="L355" s="339"/>
      <c r="M355" s="339"/>
      <c r="N355" s="339"/>
      <c r="O355" s="339"/>
      <c r="P355" s="339"/>
      <c r="Q355" s="339"/>
      <c r="R355" s="1236">
        <f t="shared" si="196"/>
        <v>0</v>
      </c>
      <c r="S355" s="1237">
        <f t="shared" si="197"/>
        <v>0</v>
      </c>
      <c r="T355" s="341"/>
      <c r="U355" s="381">
        <f t="shared" si="198"/>
        <v>0</v>
      </c>
      <c r="V355" s="342">
        <f t="shared" si="199"/>
        <v>0</v>
      </c>
      <c r="W355" s="342">
        <f t="shared" si="200"/>
        <v>0</v>
      </c>
      <c r="X355" s="342">
        <f t="shared" si="201"/>
        <v>0</v>
      </c>
      <c r="Y355" s="382">
        <f t="shared" si="202"/>
        <v>0</v>
      </c>
      <c r="Z355" s="343">
        <f t="shared" si="203"/>
        <v>0</v>
      </c>
      <c r="AA355" s="343">
        <f t="shared" si="204"/>
        <v>0</v>
      </c>
      <c r="AB355" s="343">
        <f t="shared" si="205"/>
        <v>0</v>
      </c>
      <c r="AC355" s="383">
        <f t="shared" si="206"/>
        <v>0</v>
      </c>
      <c r="AD355" s="344">
        <f t="shared" si="207"/>
        <v>0</v>
      </c>
      <c r="AE355" s="344">
        <f t="shared" si="208"/>
        <v>0</v>
      </c>
      <c r="AF355" s="344">
        <f t="shared" si="209"/>
        <v>0</v>
      </c>
      <c r="AG355" s="345">
        <f t="shared" si="210"/>
        <v>0</v>
      </c>
      <c r="AH355" s="345">
        <f t="shared" si="211"/>
        <v>0</v>
      </c>
      <c r="AI355" s="345">
        <f t="shared" si="212"/>
        <v>0</v>
      </c>
      <c r="AJ355" s="306">
        <f t="shared" si="213"/>
        <v>0</v>
      </c>
      <c r="AK355" s="306">
        <f t="shared" si="214"/>
        <v>0</v>
      </c>
      <c r="AL355" s="306">
        <f t="shared" si="215"/>
        <v>0</v>
      </c>
      <c r="AM355" s="749"/>
      <c r="AN355" s="763"/>
      <c r="AO355" s="780"/>
      <c r="AP355" s="896"/>
      <c r="AQ355" s="896"/>
      <c r="AR355" s="896"/>
      <c r="AS355" s="780"/>
      <c r="AT355" s="780"/>
      <c r="AU355" s="780"/>
      <c r="AV355" s="780"/>
      <c r="AW355" s="780"/>
      <c r="AX355" s="780"/>
      <c r="AY355" s="780"/>
      <c r="AZ355" s="780"/>
      <c r="BA355" s="780"/>
    </row>
    <row r="356" spans="1:58" x14ac:dyDescent="0.2">
      <c r="A356" s="346"/>
      <c r="B356" s="347"/>
      <c r="C356" s="358"/>
      <c r="D356" s="366"/>
      <c r="E356" s="366"/>
      <c r="F356" s="339"/>
      <c r="G356" s="1211">
        <f t="shared" si="195"/>
        <v>0</v>
      </c>
      <c r="H356" s="339"/>
      <c r="I356" s="339"/>
      <c r="J356" s="339"/>
      <c r="K356" s="339"/>
      <c r="L356" s="339"/>
      <c r="M356" s="339"/>
      <c r="N356" s="339"/>
      <c r="O356" s="339"/>
      <c r="P356" s="339"/>
      <c r="Q356" s="339"/>
      <c r="R356" s="1236">
        <f t="shared" si="196"/>
        <v>0</v>
      </c>
      <c r="S356" s="1237">
        <f t="shared" si="197"/>
        <v>0</v>
      </c>
      <c r="T356" s="341"/>
      <c r="U356" s="381">
        <f t="shared" si="198"/>
        <v>0</v>
      </c>
      <c r="V356" s="342">
        <f t="shared" si="199"/>
        <v>0</v>
      </c>
      <c r="W356" s="342">
        <f t="shared" si="200"/>
        <v>0</v>
      </c>
      <c r="X356" s="342">
        <f t="shared" si="201"/>
        <v>0</v>
      </c>
      <c r="Y356" s="382">
        <f t="shared" si="202"/>
        <v>0</v>
      </c>
      <c r="Z356" s="343">
        <f t="shared" si="203"/>
        <v>0</v>
      </c>
      <c r="AA356" s="343">
        <f t="shared" si="204"/>
        <v>0</v>
      </c>
      <c r="AB356" s="343">
        <f t="shared" si="205"/>
        <v>0</v>
      </c>
      <c r="AC356" s="383">
        <f t="shared" si="206"/>
        <v>0</v>
      </c>
      <c r="AD356" s="344">
        <f t="shared" si="207"/>
        <v>0</v>
      </c>
      <c r="AE356" s="344">
        <f t="shared" si="208"/>
        <v>0</v>
      </c>
      <c r="AF356" s="344">
        <f t="shared" si="209"/>
        <v>0</v>
      </c>
      <c r="AG356" s="345">
        <f t="shared" si="210"/>
        <v>0</v>
      </c>
      <c r="AH356" s="345">
        <f t="shared" si="211"/>
        <v>0</v>
      </c>
      <c r="AI356" s="345">
        <f t="shared" si="212"/>
        <v>0</v>
      </c>
      <c r="AJ356" s="306">
        <f t="shared" si="213"/>
        <v>0</v>
      </c>
      <c r="AK356" s="306">
        <f t="shared" si="214"/>
        <v>0</v>
      </c>
      <c r="AL356" s="306">
        <f t="shared" si="215"/>
        <v>0</v>
      </c>
      <c r="AM356" s="749"/>
      <c r="AN356" s="763"/>
      <c r="AO356" s="780"/>
      <c r="AP356" s="896"/>
      <c r="AQ356" s="896"/>
      <c r="AR356" s="896"/>
      <c r="AS356" s="780"/>
      <c r="AT356" s="780"/>
      <c r="AU356" s="780"/>
      <c r="AV356" s="780"/>
      <c r="AW356" s="780"/>
      <c r="AX356" s="780"/>
      <c r="AY356" s="780"/>
      <c r="AZ356" s="780"/>
      <c r="BA356" s="780"/>
    </row>
    <row r="357" spans="1:58" x14ac:dyDescent="0.2">
      <c r="A357" s="346"/>
      <c r="B357" s="347"/>
      <c r="C357" s="358"/>
      <c r="D357" s="366"/>
      <c r="E357" s="366"/>
      <c r="F357" s="339"/>
      <c r="G357" s="1211">
        <f t="shared" si="195"/>
        <v>0</v>
      </c>
      <c r="H357" s="339"/>
      <c r="I357" s="339"/>
      <c r="J357" s="339"/>
      <c r="K357" s="339"/>
      <c r="L357" s="339"/>
      <c r="M357" s="339"/>
      <c r="N357" s="339"/>
      <c r="O357" s="339"/>
      <c r="P357" s="339"/>
      <c r="Q357" s="339"/>
      <c r="R357" s="1236">
        <f t="shared" si="196"/>
        <v>0</v>
      </c>
      <c r="S357" s="1237">
        <f t="shared" si="197"/>
        <v>0</v>
      </c>
      <c r="T357" s="341"/>
      <c r="U357" s="381">
        <f t="shared" si="198"/>
        <v>0</v>
      </c>
      <c r="V357" s="342">
        <f t="shared" si="199"/>
        <v>0</v>
      </c>
      <c r="W357" s="342">
        <f t="shared" si="200"/>
        <v>0</v>
      </c>
      <c r="X357" s="342">
        <f t="shared" si="201"/>
        <v>0</v>
      </c>
      <c r="Y357" s="382">
        <f t="shared" si="202"/>
        <v>0</v>
      </c>
      <c r="Z357" s="343">
        <f t="shared" si="203"/>
        <v>0</v>
      </c>
      <c r="AA357" s="343">
        <f t="shared" si="204"/>
        <v>0</v>
      </c>
      <c r="AB357" s="343">
        <f t="shared" si="205"/>
        <v>0</v>
      </c>
      <c r="AC357" s="383">
        <f t="shared" si="206"/>
        <v>0</v>
      </c>
      <c r="AD357" s="344">
        <f t="shared" si="207"/>
        <v>0</v>
      </c>
      <c r="AE357" s="344">
        <f t="shared" si="208"/>
        <v>0</v>
      </c>
      <c r="AF357" s="344">
        <f t="shared" si="209"/>
        <v>0</v>
      </c>
      <c r="AG357" s="345">
        <f t="shared" si="210"/>
        <v>0</v>
      </c>
      <c r="AH357" s="345">
        <f t="shared" si="211"/>
        <v>0</v>
      </c>
      <c r="AI357" s="345">
        <f t="shared" si="212"/>
        <v>0</v>
      </c>
      <c r="AJ357" s="306">
        <f t="shared" si="213"/>
        <v>0</v>
      </c>
      <c r="AK357" s="306">
        <f t="shared" si="214"/>
        <v>0</v>
      </c>
      <c r="AL357" s="306">
        <f t="shared" si="215"/>
        <v>0</v>
      </c>
      <c r="AM357" s="749"/>
      <c r="AN357" s="763"/>
      <c r="AO357" s="780"/>
      <c r="AP357" s="896"/>
      <c r="AQ357" s="896"/>
      <c r="AR357" s="896"/>
      <c r="AS357" s="780"/>
      <c r="AT357" s="780"/>
      <c r="AU357" s="780"/>
      <c r="AV357" s="780"/>
      <c r="AW357" s="780"/>
      <c r="AX357" s="780"/>
      <c r="AY357" s="780"/>
      <c r="AZ357" s="780"/>
      <c r="BA357" s="780"/>
    </row>
    <row r="358" spans="1:58" x14ac:dyDescent="0.2">
      <c r="A358" s="346"/>
      <c r="B358" s="347"/>
      <c r="C358" s="358"/>
      <c r="D358" s="366"/>
      <c r="E358" s="366"/>
      <c r="F358" s="339"/>
      <c r="G358" s="1211">
        <f t="shared" si="195"/>
        <v>0</v>
      </c>
      <c r="H358" s="339"/>
      <c r="I358" s="339"/>
      <c r="J358" s="339"/>
      <c r="K358" s="339"/>
      <c r="L358" s="339"/>
      <c r="M358" s="339"/>
      <c r="N358" s="339"/>
      <c r="O358" s="339"/>
      <c r="P358" s="339"/>
      <c r="Q358" s="339"/>
      <c r="R358" s="1236">
        <f t="shared" si="196"/>
        <v>0</v>
      </c>
      <c r="S358" s="1237">
        <f t="shared" si="197"/>
        <v>0</v>
      </c>
      <c r="T358" s="341"/>
      <c r="U358" s="381">
        <f t="shared" si="198"/>
        <v>0</v>
      </c>
      <c r="V358" s="342">
        <f t="shared" si="199"/>
        <v>0</v>
      </c>
      <c r="W358" s="342">
        <f t="shared" si="200"/>
        <v>0</v>
      </c>
      <c r="X358" s="342">
        <f t="shared" si="201"/>
        <v>0</v>
      </c>
      <c r="Y358" s="382">
        <f t="shared" si="202"/>
        <v>0</v>
      </c>
      <c r="Z358" s="343">
        <f t="shared" si="203"/>
        <v>0</v>
      </c>
      <c r="AA358" s="343">
        <f t="shared" si="204"/>
        <v>0</v>
      </c>
      <c r="AB358" s="343">
        <f t="shared" si="205"/>
        <v>0</v>
      </c>
      <c r="AC358" s="383">
        <f t="shared" si="206"/>
        <v>0</v>
      </c>
      <c r="AD358" s="344">
        <f t="shared" si="207"/>
        <v>0</v>
      </c>
      <c r="AE358" s="344">
        <f t="shared" si="208"/>
        <v>0</v>
      </c>
      <c r="AF358" s="344">
        <f t="shared" si="209"/>
        <v>0</v>
      </c>
      <c r="AG358" s="345">
        <f t="shared" si="210"/>
        <v>0</v>
      </c>
      <c r="AH358" s="345">
        <f t="shared" si="211"/>
        <v>0</v>
      </c>
      <c r="AI358" s="345">
        <f t="shared" si="212"/>
        <v>0</v>
      </c>
      <c r="AJ358" s="306">
        <f t="shared" si="213"/>
        <v>0</v>
      </c>
      <c r="AK358" s="306">
        <f t="shared" si="214"/>
        <v>0</v>
      </c>
      <c r="AL358" s="306">
        <f t="shared" si="215"/>
        <v>0</v>
      </c>
      <c r="AM358" s="749"/>
      <c r="AN358" s="763"/>
      <c r="AO358" s="780"/>
      <c r="AP358" s="896"/>
      <c r="AQ358" s="896"/>
      <c r="AR358" s="896"/>
      <c r="AS358" s="780"/>
      <c r="AT358" s="780"/>
      <c r="AU358" s="780"/>
      <c r="AV358" s="780"/>
      <c r="AW358" s="780"/>
      <c r="AX358" s="780"/>
      <c r="AY358" s="780"/>
      <c r="AZ358" s="780"/>
      <c r="BA358" s="780"/>
    </row>
    <row r="359" spans="1:58" x14ac:dyDescent="0.2">
      <c r="A359" s="346"/>
      <c r="B359" s="347"/>
      <c r="C359" s="358"/>
      <c r="D359" s="366"/>
      <c r="E359" s="366"/>
      <c r="F359" s="339"/>
      <c r="G359" s="1211">
        <f t="shared" si="195"/>
        <v>0</v>
      </c>
      <c r="H359" s="339"/>
      <c r="I359" s="339"/>
      <c r="J359" s="339"/>
      <c r="K359" s="339"/>
      <c r="L359" s="339"/>
      <c r="M359" s="339"/>
      <c r="N359" s="339"/>
      <c r="O359" s="339"/>
      <c r="P359" s="339"/>
      <c r="Q359" s="339"/>
      <c r="R359" s="1236">
        <f t="shared" si="196"/>
        <v>0</v>
      </c>
      <c r="S359" s="1237">
        <f t="shared" si="197"/>
        <v>0</v>
      </c>
      <c r="T359" s="341"/>
      <c r="U359" s="381">
        <f t="shared" si="198"/>
        <v>0</v>
      </c>
      <c r="V359" s="342">
        <f t="shared" si="199"/>
        <v>0</v>
      </c>
      <c r="W359" s="342">
        <f t="shared" si="200"/>
        <v>0</v>
      </c>
      <c r="X359" s="342">
        <f t="shared" si="201"/>
        <v>0</v>
      </c>
      <c r="Y359" s="382">
        <f t="shared" si="202"/>
        <v>0</v>
      </c>
      <c r="Z359" s="343">
        <f t="shared" si="203"/>
        <v>0</v>
      </c>
      <c r="AA359" s="343">
        <f t="shared" si="204"/>
        <v>0</v>
      </c>
      <c r="AB359" s="343">
        <f t="shared" si="205"/>
        <v>0</v>
      </c>
      <c r="AC359" s="383">
        <f t="shared" si="206"/>
        <v>0</v>
      </c>
      <c r="AD359" s="344">
        <f t="shared" si="207"/>
        <v>0</v>
      </c>
      <c r="AE359" s="344">
        <f t="shared" si="208"/>
        <v>0</v>
      </c>
      <c r="AF359" s="344">
        <f t="shared" si="209"/>
        <v>0</v>
      </c>
      <c r="AG359" s="345">
        <f t="shared" si="210"/>
        <v>0</v>
      </c>
      <c r="AH359" s="345">
        <f t="shared" si="211"/>
        <v>0</v>
      </c>
      <c r="AI359" s="345">
        <f t="shared" si="212"/>
        <v>0</v>
      </c>
      <c r="AJ359" s="306">
        <f t="shared" si="213"/>
        <v>0</v>
      </c>
      <c r="AK359" s="306">
        <f t="shared" si="214"/>
        <v>0</v>
      </c>
      <c r="AL359" s="306">
        <f t="shared" si="215"/>
        <v>0</v>
      </c>
      <c r="AM359" s="749"/>
      <c r="AN359" s="763"/>
      <c r="AO359" s="780"/>
      <c r="AP359" s="896"/>
      <c r="AQ359" s="896"/>
      <c r="AR359" s="896"/>
      <c r="AS359" s="780"/>
      <c r="AT359" s="780"/>
      <c r="AU359" s="780"/>
      <c r="AV359" s="780"/>
      <c r="AW359" s="780"/>
      <c r="AX359" s="780"/>
      <c r="AY359" s="780"/>
      <c r="AZ359" s="780"/>
      <c r="BA359" s="780"/>
    </row>
    <row r="360" spans="1:58" ht="13.5" thickBot="1" x14ac:dyDescent="0.25">
      <c r="A360" s="346"/>
      <c r="B360" s="347"/>
      <c r="C360" s="358"/>
      <c r="D360" s="366"/>
      <c r="E360" s="366"/>
      <c r="F360" s="339"/>
      <c r="G360" s="1211">
        <f t="shared" si="195"/>
        <v>0</v>
      </c>
      <c r="H360" s="339"/>
      <c r="I360" s="339"/>
      <c r="J360" s="339"/>
      <c r="K360" s="339"/>
      <c r="L360" s="339"/>
      <c r="M360" s="339"/>
      <c r="N360" s="339"/>
      <c r="O360" s="339"/>
      <c r="P360" s="339"/>
      <c r="Q360" s="339"/>
      <c r="R360" s="1236">
        <f t="shared" si="196"/>
        <v>0</v>
      </c>
      <c r="S360" s="1241">
        <f t="shared" si="197"/>
        <v>0</v>
      </c>
      <c r="T360" s="341"/>
      <c r="U360" s="381">
        <f t="shared" si="198"/>
        <v>0</v>
      </c>
      <c r="V360" s="342">
        <f t="shared" si="199"/>
        <v>0</v>
      </c>
      <c r="W360" s="342">
        <f t="shared" si="200"/>
        <v>0</v>
      </c>
      <c r="X360" s="342">
        <f t="shared" si="201"/>
        <v>0</v>
      </c>
      <c r="Y360" s="382">
        <f t="shared" si="202"/>
        <v>0</v>
      </c>
      <c r="Z360" s="343">
        <f t="shared" si="203"/>
        <v>0</v>
      </c>
      <c r="AA360" s="343">
        <f t="shared" si="204"/>
        <v>0</v>
      </c>
      <c r="AB360" s="343">
        <f t="shared" si="205"/>
        <v>0</v>
      </c>
      <c r="AC360" s="383">
        <f t="shared" si="206"/>
        <v>0</v>
      </c>
      <c r="AD360" s="344">
        <f t="shared" si="207"/>
        <v>0</v>
      </c>
      <c r="AE360" s="344">
        <f t="shared" si="208"/>
        <v>0</v>
      </c>
      <c r="AF360" s="344">
        <f t="shared" si="209"/>
        <v>0</v>
      </c>
      <c r="AG360" s="345">
        <f t="shared" si="210"/>
        <v>0</v>
      </c>
      <c r="AH360" s="345">
        <f t="shared" si="211"/>
        <v>0</v>
      </c>
      <c r="AI360" s="345">
        <f t="shared" si="212"/>
        <v>0</v>
      </c>
      <c r="AJ360" s="306">
        <f t="shared" si="213"/>
        <v>0</v>
      </c>
      <c r="AK360" s="306">
        <f t="shared" si="214"/>
        <v>0</v>
      </c>
      <c r="AL360" s="306">
        <f t="shared" si="215"/>
        <v>0</v>
      </c>
      <c r="AM360" s="749"/>
      <c r="AN360" s="763"/>
      <c r="AO360" s="780"/>
      <c r="AP360" s="896"/>
      <c r="AQ360" s="896"/>
      <c r="AR360" s="896"/>
      <c r="AS360" s="780"/>
      <c r="AT360" s="780"/>
      <c r="AU360" s="780"/>
      <c r="AV360" s="780"/>
      <c r="AW360" s="780"/>
      <c r="AX360" s="780"/>
      <c r="AY360" s="780"/>
      <c r="AZ360" s="780"/>
      <c r="BA360" s="780"/>
    </row>
    <row r="361" spans="1:58" ht="13.5" thickBot="1" x14ac:dyDescent="0.25">
      <c r="A361" s="1242" t="s">
        <v>394</v>
      </c>
      <c r="B361" s="1243"/>
      <c r="C361" s="1225">
        <f>SUM(C331:C360)</f>
        <v>0</v>
      </c>
      <c r="D361" s="1226"/>
      <c r="E361" s="1226"/>
      <c r="F361" s="1226"/>
      <c r="G361" s="1228">
        <f>IF(ISERROR(SUM(G331:G360)/$C$361),0,(SUM(G331:G360)/$C$361))</f>
        <v>0</v>
      </c>
      <c r="H361" s="1228">
        <f>IF(ISERROR(SUM(H331:H360)/$C$361),0,(SUM(H331:H360)/$C$361))</f>
        <v>0</v>
      </c>
      <c r="I361" s="1228">
        <f t="shared" ref="I361:Q361" si="216">IF(ISERROR(SUM(I331:I360)/$C$361),0,(SUM(I331:I360)/$C$361))</f>
        <v>0</v>
      </c>
      <c r="J361" s="1228">
        <f t="shared" si="216"/>
        <v>0</v>
      </c>
      <c r="K361" s="1228">
        <f t="shared" si="216"/>
        <v>0</v>
      </c>
      <c r="L361" s="1228">
        <f t="shared" si="216"/>
        <v>0</v>
      </c>
      <c r="M361" s="1228">
        <f t="shared" si="216"/>
        <v>0</v>
      </c>
      <c r="N361" s="1228">
        <f t="shared" si="216"/>
        <v>0</v>
      </c>
      <c r="O361" s="1228">
        <f t="shared" si="216"/>
        <v>0</v>
      </c>
      <c r="P361" s="1228">
        <f t="shared" si="216"/>
        <v>0</v>
      </c>
      <c r="Q361" s="1228">
        <f t="shared" si="216"/>
        <v>0</v>
      </c>
      <c r="R361" s="1262">
        <f>SUM(R331:R360)</f>
        <v>0</v>
      </c>
      <c r="S361" s="1230">
        <f>IFERROR(SUM(R361/C361),0)</f>
        <v>0</v>
      </c>
      <c r="T361" s="308"/>
      <c r="U361" s="308"/>
      <c r="V361" s="308"/>
      <c r="W361" s="308"/>
      <c r="X361" s="308"/>
      <c r="Y361" s="308"/>
      <c r="Z361" s="308"/>
      <c r="AA361" s="308"/>
      <c r="AB361" s="308"/>
      <c r="AC361" s="308"/>
      <c r="AD361" s="308"/>
      <c r="AE361" s="308"/>
      <c r="AF361" s="308"/>
      <c r="AG361" s="308"/>
      <c r="AH361" s="308"/>
      <c r="AI361" s="308"/>
      <c r="AJ361" s="308"/>
      <c r="AK361" s="308"/>
      <c r="AL361" s="308"/>
      <c r="AM361" s="751"/>
      <c r="AN361" s="765"/>
      <c r="AO361" s="782"/>
      <c r="AP361" s="782"/>
      <c r="AQ361" s="782"/>
      <c r="AR361" s="782"/>
      <c r="AS361" s="782"/>
      <c r="AT361" s="782"/>
      <c r="AU361" s="782"/>
      <c r="AV361" s="782"/>
      <c r="AW361" s="782"/>
      <c r="AX361" s="782"/>
      <c r="AY361" s="782"/>
      <c r="AZ361" s="782"/>
      <c r="BA361" s="782"/>
      <c r="BF361" s="427"/>
    </row>
    <row r="362" spans="1:58" ht="13.5" thickBot="1" x14ac:dyDescent="0.25">
      <c r="A362" s="1245"/>
      <c r="B362" s="1246"/>
      <c r="P362" s="1399" t="s">
        <v>1193</v>
      </c>
      <c r="Q362" s="1400"/>
      <c r="R362" s="1401"/>
      <c r="S362" s="1261">
        <f>S361*(100+$R$8)%*(100+$R$9)%</f>
        <v>0</v>
      </c>
      <c r="T362" s="363"/>
      <c r="U362" s="364"/>
      <c r="V362" s="364"/>
      <c r="W362" s="364"/>
      <c r="X362" s="364"/>
      <c r="Y362" s="364"/>
      <c r="Z362" s="364"/>
      <c r="AA362" s="364"/>
      <c r="AB362" s="364"/>
      <c r="AC362" s="364"/>
      <c r="AD362" s="364"/>
      <c r="AE362" s="364"/>
      <c r="AF362" s="364"/>
      <c r="AG362" s="364"/>
      <c r="AH362" s="364"/>
      <c r="AI362" s="364"/>
      <c r="AJ362" s="364"/>
      <c r="AK362" s="364"/>
      <c r="AL362" s="364"/>
      <c r="AM362" s="754"/>
      <c r="AN362" s="770"/>
      <c r="AO362" s="787"/>
      <c r="AP362" s="787"/>
      <c r="AQ362" s="787"/>
      <c r="AR362" s="787"/>
      <c r="AS362" s="787"/>
      <c r="AT362" s="787"/>
      <c r="AU362" s="787"/>
      <c r="AV362" s="787"/>
      <c r="AW362" s="787"/>
      <c r="AX362" s="787"/>
      <c r="AY362" s="787"/>
      <c r="AZ362" s="787"/>
      <c r="BA362" s="787"/>
    </row>
    <row r="363" spans="1:58" x14ac:dyDescent="0.2">
      <c r="A363" s="1245"/>
      <c r="B363" s="1246"/>
      <c r="C363" s="1247"/>
      <c r="D363" s="1247"/>
      <c r="E363" s="1247"/>
      <c r="F363" s="1247"/>
      <c r="G363" s="1247"/>
      <c r="H363" s="1247"/>
      <c r="I363" s="1247"/>
      <c r="J363" s="1247"/>
      <c r="K363" s="1247"/>
      <c r="L363" s="1247"/>
      <c r="M363" s="1247"/>
      <c r="N363" s="1247"/>
      <c r="O363" s="1247"/>
      <c r="P363" s="1247"/>
      <c r="Q363" s="1247"/>
      <c r="R363" s="180"/>
      <c r="S363" s="376"/>
      <c r="T363" s="363"/>
      <c r="U363" s="364"/>
      <c r="V363" s="364"/>
      <c r="W363" s="364"/>
      <c r="X363" s="364"/>
      <c r="Y363" s="364"/>
      <c r="Z363" s="364"/>
      <c r="AA363" s="364"/>
      <c r="AB363" s="364"/>
      <c r="AC363" s="364"/>
      <c r="AD363" s="364"/>
      <c r="AE363" s="364"/>
      <c r="AF363" s="364"/>
      <c r="AG363" s="364"/>
      <c r="AH363" s="364"/>
      <c r="AI363" s="364"/>
      <c r="AJ363" s="364"/>
      <c r="AK363" s="364"/>
      <c r="AL363" s="364"/>
      <c r="AM363" s="754"/>
      <c r="AN363" s="770"/>
      <c r="AO363" s="787"/>
      <c r="AP363" s="787"/>
      <c r="AQ363" s="787"/>
      <c r="AR363" s="787"/>
      <c r="AS363" s="787"/>
      <c r="AT363" s="787"/>
      <c r="AU363" s="787"/>
      <c r="AV363" s="787"/>
      <c r="AW363" s="787"/>
      <c r="AX363" s="787"/>
      <c r="AY363" s="787"/>
      <c r="AZ363" s="787"/>
      <c r="BA363" s="787"/>
    </row>
    <row r="364" spans="1:58" x14ac:dyDescent="0.2">
      <c r="A364" s="1245"/>
      <c r="B364" s="1246"/>
      <c r="C364" s="1247"/>
      <c r="D364" s="1247"/>
      <c r="E364" s="1247"/>
      <c r="F364" s="1247"/>
      <c r="G364" s="1247"/>
      <c r="H364" s="1247"/>
      <c r="I364" s="1247"/>
      <c r="J364" s="1247"/>
      <c r="K364" s="1247"/>
      <c r="L364" s="1247"/>
      <c r="M364" s="1247"/>
      <c r="N364" s="1247"/>
      <c r="O364" s="1247"/>
      <c r="P364" s="1247"/>
      <c r="Q364" s="1247"/>
      <c r="R364" s="1247"/>
      <c r="S364" s="1268"/>
      <c r="T364" s="328"/>
    </row>
    <row r="365" spans="1:58" x14ac:dyDescent="0.2">
      <c r="A365" s="1269"/>
      <c r="B365" s="1247"/>
      <c r="C365" s="1247"/>
      <c r="D365" s="1247"/>
      <c r="E365" s="1247"/>
      <c r="F365" s="1247"/>
      <c r="G365" s="1247"/>
      <c r="H365" s="1270"/>
      <c r="I365" s="1247"/>
      <c r="J365" s="1247"/>
      <c r="K365" s="1247"/>
      <c r="L365" s="1247"/>
      <c r="M365" s="1247"/>
      <c r="N365" s="1247"/>
      <c r="O365" s="1247"/>
      <c r="P365" s="1247"/>
      <c r="Q365" s="1247"/>
      <c r="R365" s="1247"/>
      <c r="S365" s="1268"/>
      <c r="T365" s="328"/>
    </row>
    <row r="366" spans="1:58" x14ac:dyDescent="0.2">
      <c r="A366" s="1271" t="s">
        <v>419</v>
      </c>
      <c r="B366" s="1247"/>
      <c r="C366" s="1247"/>
      <c r="D366" s="1247"/>
      <c r="E366" s="1247"/>
      <c r="F366" s="1247"/>
      <c r="G366" s="1247"/>
      <c r="H366" s="1246" t="s">
        <v>874</v>
      </c>
      <c r="I366" s="1247"/>
      <c r="J366" s="1247"/>
      <c r="K366" s="1247"/>
      <c r="L366" s="1247"/>
      <c r="M366" s="1247"/>
      <c r="N366" s="1247"/>
      <c r="O366" s="1247"/>
      <c r="P366" s="1247"/>
      <c r="Q366" s="1247"/>
      <c r="R366" s="1247"/>
      <c r="S366" s="1268"/>
      <c r="T366" s="328"/>
    </row>
    <row r="367" spans="1:58" ht="13.5" thickBot="1" x14ac:dyDescent="0.25">
      <c r="A367" s="1271"/>
      <c r="B367" s="1247"/>
      <c r="C367" s="1247"/>
      <c r="D367" s="1247"/>
      <c r="E367" s="1247"/>
      <c r="F367" s="1247"/>
      <c r="G367" s="1247"/>
      <c r="H367" s="1247"/>
      <c r="I367" s="1247"/>
      <c r="J367" s="1247"/>
      <c r="K367" s="1247"/>
      <c r="L367" s="1247"/>
      <c r="M367" s="1247"/>
      <c r="N367" s="1247"/>
      <c r="O367" s="1247"/>
      <c r="P367" s="1247"/>
      <c r="Q367" s="1247"/>
      <c r="R367" s="1247"/>
      <c r="S367" s="1268"/>
      <c r="T367" s="367" t="s">
        <v>320</v>
      </c>
      <c r="U367" s="342">
        <f t="shared" ref="U367:AL367" si="217">SUM(U22:U109,U111:U222,U224:U360)</f>
        <v>0</v>
      </c>
      <c r="V367" s="342">
        <f t="shared" si="217"/>
        <v>0</v>
      </c>
      <c r="W367" s="342">
        <f t="shared" si="217"/>
        <v>0</v>
      </c>
      <c r="X367" s="342">
        <f t="shared" si="217"/>
        <v>0</v>
      </c>
      <c r="Y367" s="343">
        <f t="shared" si="217"/>
        <v>0</v>
      </c>
      <c r="Z367" s="343">
        <f t="shared" si="217"/>
        <v>0</v>
      </c>
      <c r="AA367" s="343">
        <f t="shared" si="217"/>
        <v>0</v>
      </c>
      <c r="AB367" s="343">
        <f t="shared" si="217"/>
        <v>0</v>
      </c>
      <c r="AC367" s="344">
        <f t="shared" si="217"/>
        <v>0</v>
      </c>
      <c r="AD367" s="344">
        <f t="shared" si="217"/>
        <v>0</v>
      </c>
      <c r="AE367" s="344">
        <f t="shared" si="217"/>
        <v>0</v>
      </c>
      <c r="AF367" s="344">
        <f t="shared" si="217"/>
        <v>0</v>
      </c>
      <c r="AG367" s="342">
        <f t="shared" si="217"/>
        <v>0</v>
      </c>
      <c r="AH367" s="343">
        <f t="shared" si="217"/>
        <v>0</v>
      </c>
      <c r="AI367" s="344">
        <f t="shared" si="217"/>
        <v>0</v>
      </c>
      <c r="AJ367" s="342">
        <f t="shared" si="217"/>
        <v>0</v>
      </c>
      <c r="AK367" s="343">
        <f t="shared" si="217"/>
        <v>0</v>
      </c>
      <c r="AL367" s="344">
        <f t="shared" si="217"/>
        <v>0</v>
      </c>
      <c r="AM367" s="342"/>
      <c r="AN367" s="343"/>
      <c r="AO367" s="788"/>
      <c r="AP367" s="920">
        <f>IF(SUM(AP250:AP264,AP22:AP109,AP111:AP122)=0,0,SUM(AP250:AP264,AP22:AP122)-AV23)</f>
        <v>0</v>
      </c>
      <c r="AQ367" s="921">
        <f>SUM(AQ250:AQ264,AQ131:AQ222,AQ224:AQ243)</f>
        <v>0</v>
      </c>
      <c r="AR367" s="919">
        <f>SUM(AR250:AR264,AR131:AR222,AR224:AR243)</f>
        <v>0</v>
      </c>
      <c r="AS367" s="894"/>
      <c r="AT367" s="894"/>
      <c r="AU367" s="894"/>
      <c r="AV367" s="894"/>
      <c r="AW367" s="894"/>
      <c r="AX367" s="894"/>
      <c r="AY367" s="894"/>
      <c r="AZ367" s="894"/>
      <c r="BA367" s="894"/>
    </row>
    <row r="368" spans="1:58" x14ac:dyDescent="0.2">
      <c r="A368" s="1272" t="s">
        <v>395</v>
      </c>
      <c r="B368" s="1273" t="s">
        <v>339</v>
      </c>
      <c r="C368" s="1782" t="s">
        <v>340</v>
      </c>
      <c r="D368" s="1783"/>
      <c r="E368" s="1784" t="s">
        <v>341</v>
      </c>
      <c r="F368" s="1785"/>
      <c r="G368" s="1247"/>
      <c r="H368" s="1274" t="s">
        <v>872</v>
      </c>
      <c r="I368" s="1275"/>
      <c r="J368" s="1276" t="s">
        <v>339</v>
      </c>
      <c r="K368" s="1277" t="s">
        <v>340</v>
      </c>
      <c r="L368" s="1278" t="s">
        <v>341</v>
      </c>
      <c r="M368" s="1247"/>
      <c r="N368" s="1247"/>
      <c r="O368" s="1247"/>
      <c r="P368" s="1247"/>
      <c r="Q368" s="1247"/>
      <c r="R368" s="1247"/>
      <c r="S368" s="1268"/>
      <c r="T368" s="328"/>
      <c r="U368" s="368">
        <f>IFERROR(U367/$AG$367,0)</f>
        <v>0</v>
      </c>
      <c r="V368" s="368">
        <f>IFERROR(V367/$AG$367,0)</f>
        <v>0</v>
      </c>
      <c r="W368" s="368">
        <f>IFERROR(W367/$AG$367,0)</f>
        <v>0</v>
      </c>
      <c r="X368" s="368">
        <f>IFERROR(X367/$AG$367,0)</f>
        <v>0</v>
      </c>
      <c r="Y368" s="369">
        <f>IFERROR(Y367/$AH$367,0)</f>
        <v>0</v>
      </c>
      <c r="Z368" s="369">
        <f>IFERROR(Z367/$AH$367,0)</f>
        <v>0</v>
      </c>
      <c r="AA368" s="369">
        <f>IFERROR(AA367/$AH$367,0)</f>
        <v>0</v>
      </c>
      <c r="AB368" s="369">
        <f>IFERROR(AB367/$AH$367,0)</f>
        <v>0</v>
      </c>
      <c r="AC368" s="370">
        <f>IFERROR(AC367/$AI$367,0)</f>
        <v>0</v>
      </c>
      <c r="AD368" s="370">
        <f>IFERROR(AD367/$AI$367,0)</f>
        <v>0</v>
      </c>
      <c r="AE368" s="370">
        <f>IFERROR(AE367/$AI$367,0)</f>
        <v>0</v>
      </c>
      <c r="AF368" s="370">
        <f>IFERROR(AF367/$AI$367,0)</f>
        <v>0</v>
      </c>
      <c r="AM368" s="1748"/>
      <c r="AN368" s="1748"/>
      <c r="AO368" s="1748"/>
      <c r="AP368" s="895"/>
      <c r="AQ368" s="895"/>
      <c r="AR368" s="895"/>
      <c r="AS368" s="895"/>
      <c r="AT368" s="895"/>
      <c r="AU368" s="895"/>
      <c r="AV368" s="895"/>
      <c r="AW368" s="895"/>
      <c r="AX368" s="895"/>
      <c r="AY368" s="895"/>
      <c r="AZ368" s="895"/>
      <c r="BA368" s="895"/>
    </row>
    <row r="369" spans="1:58" ht="26.25" thickBot="1" x14ac:dyDescent="0.25">
      <c r="A369" s="1279"/>
      <c r="B369" s="1280" t="s">
        <v>409</v>
      </c>
      <c r="C369" s="1732" t="s">
        <v>410</v>
      </c>
      <c r="D369" s="1733"/>
      <c r="E369" s="1734" t="s">
        <v>411</v>
      </c>
      <c r="F369" s="1735"/>
      <c r="G369" s="1247"/>
      <c r="H369" s="1281"/>
      <c r="I369" s="1282"/>
      <c r="J369" s="1283" t="s">
        <v>873</v>
      </c>
      <c r="K369" s="1284" t="s">
        <v>410</v>
      </c>
      <c r="L369" s="1285" t="s">
        <v>411</v>
      </c>
      <c r="M369" s="1247"/>
      <c r="N369" s="1247"/>
      <c r="O369" s="1247"/>
      <c r="P369" s="1247"/>
      <c r="Q369" s="1247"/>
      <c r="R369" s="1247"/>
      <c r="S369" s="1268"/>
      <c r="T369" s="328"/>
      <c r="U369" s="1789">
        <f>IFERROR(SUM(U368:X368),0)</f>
        <v>0</v>
      </c>
      <c r="V369" s="1790"/>
      <c r="W369" s="1790"/>
      <c r="X369" s="1791"/>
      <c r="Y369" s="1792">
        <f>IFERROR(SUM(Y368:AB368),0)</f>
        <v>0</v>
      </c>
      <c r="Z369" s="1793"/>
      <c r="AA369" s="1793"/>
      <c r="AB369" s="1794"/>
      <c r="AC369" s="1786">
        <f>IFERROR(SUM(AC368:AF368),0)</f>
        <v>0</v>
      </c>
      <c r="AD369" s="1787"/>
      <c r="AE369" s="1787"/>
      <c r="AF369" s="1788"/>
    </row>
    <row r="370" spans="1:58" x14ac:dyDescent="0.2">
      <c r="A370" s="1271"/>
      <c r="B370" s="1247"/>
      <c r="C370" s="1247"/>
      <c r="D370" s="1247"/>
      <c r="E370" s="1247"/>
      <c r="F370" s="1247"/>
      <c r="G370" s="1247"/>
      <c r="H370" s="1270"/>
      <c r="I370" s="1247"/>
      <c r="J370" s="1247"/>
      <c r="K370" s="1247"/>
      <c r="L370" s="1247"/>
      <c r="M370" s="1247"/>
      <c r="N370" s="1247"/>
      <c r="O370" s="1247"/>
      <c r="P370" s="1247"/>
      <c r="Q370" s="1270"/>
      <c r="R370" s="1247"/>
      <c r="S370" s="1268"/>
      <c r="T370" s="328"/>
    </row>
    <row r="371" spans="1:58" ht="15" customHeight="1" x14ac:dyDescent="0.2">
      <c r="A371" s="1286" t="s">
        <v>412</v>
      </c>
      <c r="B371" s="938">
        <f>U369</f>
        <v>0</v>
      </c>
      <c r="C371" s="1795">
        <f>Y369</f>
        <v>0</v>
      </c>
      <c r="D371" s="1795"/>
      <c r="E371" s="1796">
        <f>AC369</f>
        <v>0</v>
      </c>
      <c r="F371" s="1796"/>
      <c r="G371" s="1247"/>
      <c r="H371" s="1287" t="s">
        <v>936</v>
      </c>
      <c r="I371" s="1288">
        <f>B2_Kalkulation!Q12</f>
        <v>0</v>
      </c>
      <c r="J371" s="857">
        <v>0</v>
      </c>
      <c r="K371" s="857">
        <v>0</v>
      </c>
      <c r="L371" s="857">
        <v>0</v>
      </c>
      <c r="M371" s="1247"/>
      <c r="N371" s="1247"/>
      <c r="O371" s="1247"/>
      <c r="P371" s="1247"/>
      <c r="Q371" s="1270"/>
      <c r="R371" s="1247"/>
      <c r="S371" s="1268"/>
      <c r="T371" s="328"/>
    </row>
    <row r="372" spans="1:58" ht="13.5" thickBot="1" x14ac:dyDescent="0.25">
      <c r="A372" s="1426" t="s">
        <v>1368</v>
      </c>
      <c r="B372" s="1290">
        <f>40*13/3</f>
        <v>173.33333333333334</v>
      </c>
      <c r="C372" s="1719">
        <f>40*13/3</f>
        <v>173.33333333333334</v>
      </c>
      <c r="D372" s="1719"/>
      <c r="E372" s="1720">
        <f>40*13/3</f>
        <v>173.33333333333334</v>
      </c>
      <c r="F372" s="1720"/>
      <c r="G372" s="1247"/>
      <c r="H372" s="1291"/>
      <c r="I372" s="1292"/>
      <c r="J372" s="1293"/>
      <c r="K372" s="1293"/>
      <c r="L372" s="1294"/>
      <c r="M372" s="1247"/>
      <c r="N372" s="1247"/>
      <c r="O372" s="1247"/>
      <c r="P372" s="1247"/>
      <c r="Q372" s="1247"/>
      <c r="R372" s="1247"/>
      <c r="S372" s="1268"/>
      <c r="T372" s="328"/>
    </row>
    <row r="373" spans="1:58" ht="39.950000000000003" customHeight="1" thickBot="1" x14ac:dyDescent="0.25">
      <c r="A373" s="1295" t="s">
        <v>455</v>
      </c>
      <c r="B373" s="1428">
        <f>IFERROR(B371/B372,0)</f>
        <v>0</v>
      </c>
      <c r="C373" s="1780">
        <f>IFERROR(C371/C372,0)</f>
        <v>0</v>
      </c>
      <c r="D373" s="1781">
        <f t="shared" ref="D373:F373" si="218">IFERROR(D371/D372,0)</f>
        <v>0</v>
      </c>
      <c r="E373" s="1780">
        <f>IFERROR(E371/E372,0)</f>
        <v>0</v>
      </c>
      <c r="F373" s="1781">
        <f t="shared" si="218"/>
        <v>0</v>
      </c>
      <c r="G373" s="1247"/>
      <c r="H373" s="1797" t="s">
        <v>910</v>
      </c>
      <c r="I373" s="1798"/>
      <c r="J373" s="1296">
        <f>SUM(AG250:AG264)+C128-B2_Kalkulation!D25</f>
        <v>0</v>
      </c>
      <c r="K373" s="1296">
        <f>SUM(AH131:AH222,AH224:AH243,AH250:AH264)</f>
        <v>0</v>
      </c>
      <c r="L373" s="1296">
        <f>SUM(AI131:AI222,AI224:AI243,AI250:AI264)</f>
        <v>0</v>
      </c>
      <c r="M373" s="1247"/>
      <c r="N373" s="1247"/>
      <c r="O373" s="1247"/>
      <c r="P373" s="1247"/>
      <c r="Q373" s="1270"/>
      <c r="R373" s="1247"/>
      <c r="S373" s="1297"/>
      <c r="T373" s="328"/>
      <c r="U373" s="1370" t="s">
        <v>1239</v>
      </c>
      <c r="V373" s="1370" t="s">
        <v>1240</v>
      </c>
      <c r="W373" s="1370" t="s">
        <v>1241</v>
      </c>
      <c r="X373" s="1370" t="s">
        <v>1242</v>
      </c>
      <c r="Y373" s="1370" t="s">
        <v>1243</v>
      </c>
      <c r="Z373" s="1370" t="s">
        <v>1244</v>
      </c>
      <c r="AA373" s="1370" t="s">
        <v>1245</v>
      </c>
      <c r="AB373" s="1370" t="s">
        <v>1246</v>
      </c>
      <c r="AC373" s="1370" t="s">
        <v>1247</v>
      </c>
      <c r="AD373" s="1370" t="s">
        <v>1248</v>
      </c>
    </row>
    <row r="374" spans="1:58" x14ac:dyDescent="0.2">
      <c r="A374" s="1271"/>
      <c r="B374" s="1298"/>
      <c r="C374" s="1298"/>
      <c r="D374" s="1298"/>
      <c r="E374" s="1299"/>
      <c r="F374" s="1299"/>
      <c r="G374" s="1247"/>
      <c r="H374" s="1247"/>
      <c r="I374" s="1247"/>
      <c r="J374" s="1247"/>
      <c r="K374" s="1247"/>
      <c r="L374" s="1247"/>
      <c r="M374" s="1247"/>
      <c r="N374" s="1247"/>
      <c r="O374" s="1247"/>
      <c r="P374" s="1247"/>
      <c r="Q374" s="1247"/>
      <c r="R374" s="1247"/>
      <c r="S374" s="1268"/>
      <c r="T374" s="328"/>
      <c r="U374" s="1372">
        <f>B373</f>
        <v>0</v>
      </c>
      <c r="V374" s="1373">
        <f>C373</f>
        <v>0</v>
      </c>
      <c r="W374" s="1373">
        <f>E373</f>
        <v>0</v>
      </c>
      <c r="X374" s="1374">
        <f>B379</f>
        <v>0</v>
      </c>
      <c r="Y374" s="1371">
        <f>B375</f>
        <v>0</v>
      </c>
      <c r="Z374" s="1371">
        <f>C375</f>
        <v>0</v>
      </c>
      <c r="AA374" s="1371">
        <f>E375</f>
        <v>0</v>
      </c>
      <c r="AB374" s="1375">
        <f>B381</f>
        <v>0</v>
      </c>
      <c r="AC374" s="1375">
        <f>C381</f>
        <v>0</v>
      </c>
      <c r="AD374" s="1375">
        <f>E381</f>
        <v>0</v>
      </c>
    </row>
    <row r="375" spans="1:58" x14ac:dyDescent="0.2">
      <c r="A375" s="1300" t="s">
        <v>310</v>
      </c>
      <c r="B375" s="1427">
        <f>IFERROR(AG367,0)</f>
        <v>0</v>
      </c>
      <c r="C375" s="1766">
        <f>IFERROR(AH367,0)</f>
        <v>0</v>
      </c>
      <c r="D375" s="1767"/>
      <c r="E375" s="1768">
        <f>IFERROR(AI367,0)</f>
        <v>0</v>
      </c>
      <c r="F375" s="1768"/>
      <c r="G375" s="1247"/>
      <c r="H375" s="1301" t="s">
        <v>875</v>
      </c>
      <c r="I375" s="1302"/>
      <c r="J375" s="1303">
        <f>KAT!N14</f>
        <v>0</v>
      </c>
      <c r="K375" s="1303">
        <f>KAT!O14</f>
        <v>0</v>
      </c>
      <c r="L375" s="1303">
        <f>KAT!P14</f>
        <v>0</v>
      </c>
      <c r="M375" s="1247"/>
      <c r="N375" s="1247"/>
      <c r="O375" s="1247"/>
      <c r="P375" s="1247"/>
      <c r="Q375" s="1270"/>
      <c r="R375" s="1247"/>
      <c r="S375" s="1268"/>
      <c r="T375" s="328"/>
    </row>
    <row r="376" spans="1:58" ht="13.5" thickBot="1" x14ac:dyDescent="0.25">
      <c r="A376" s="1289" t="s">
        <v>396</v>
      </c>
      <c r="B376" s="1769">
        <f>IFERROR(SUM(B375:F375),0)</f>
        <v>0</v>
      </c>
      <c r="C376" s="1769"/>
      <c r="D376" s="1769"/>
      <c r="E376" s="1769"/>
      <c r="F376" s="1769"/>
      <c r="G376" s="1247"/>
      <c r="H376" s="1247"/>
      <c r="I376" s="1247"/>
      <c r="J376" s="1247"/>
      <c r="K376" s="1247"/>
      <c r="L376" s="1247"/>
      <c r="M376" s="1247"/>
      <c r="N376" s="1247"/>
      <c r="O376" s="1247"/>
      <c r="P376" s="1247"/>
      <c r="Q376" s="1247"/>
      <c r="R376" s="1247"/>
      <c r="S376" s="1268"/>
      <c r="T376" s="328"/>
    </row>
    <row r="377" spans="1:58" ht="13.5" thickBot="1" x14ac:dyDescent="0.25">
      <c r="A377" s="1304" t="s">
        <v>413</v>
      </c>
      <c r="B377" s="939">
        <f>IFERROR(B375/B376,0)</f>
        <v>0</v>
      </c>
      <c r="C377" s="1770">
        <f>IFERROR(C375/B376,0)</f>
        <v>0</v>
      </c>
      <c r="D377" s="1771"/>
      <c r="E377" s="1772">
        <f>IFERROR(E375/B376,0)</f>
        <v>0</v>
      </c>
      <c r="F377" s="1773"/>
      <c r="G377" s="1247"/>
      <c r="H377" s="1247"/>
      <c r="I377" s="1247"/>
      <c r="J377" s="1247"/>
      <c r="K377" s="1247"/>
      <c r="L377" s="1247"/>
      <c r="M377" s="1247"/>
      <c r="N377" s="1247"/>
      <c r="O377" s="1247"/>
      <c r="P377" s="1247"/>
      <c r="Q377" s="1247"/>
      <c r="R377" s="1247"/>
      <c r="S377" s="1268"/>
      <c r="T377" s="328"/>
    </row>
    <row r="378" spans="1:58" ht="13.5" thickBot="1" x14ac:dyDescent="0.25">
      <c r="A378" s="1269"/>
      <c r="B378" s="1247"/>
      <c r="C378" s="1247"/>
      <c r="D378" s="1247"/>
      <c r="E378" s="1247"/>
      <c r="F378" s="1247"/>
      <c r="G378" s="1247"/>
      <c r="H378" s="1247"/>
      <c r="I378" s="1247"/>
      <c r="J378" s="1247"/>
      <c r="K378" s="1247"/>
      <c r="L378" s="1247"/>
      <c r="M378" s="1247"/>
      <c r="N378" s="1247"/>
      <c r="O378" s="1247"/>
      <c r="P378" s="1247"/>
      <c r="Q378" s="1247"/>
      <c r="R378" s="1247"/>
      <c r="S378" s="1268"/>
      <c r="T378" s="328"/>
    </row>
    <row r="379" spans="1:58" ht="27" thickBot="1" x14ac:dyDescent="0.3">
      <c r="A379" s="1305" t="s">
        <v>454</v>
      </c>
      <c r="B379" s="1774">
        <f>IFERROR(B377*B373+C377*C373+E377*E373,0)</f>
        <v>0</v>
      </c>
      <c r="C379" s="1775"/>
      <c r="D379" s="1775"/>
      <c r="E379" s="1775"/>
      <c r="F379" s="1776"/>
      <c r="G379" s="1402" t="str">
        <f>IF(B379&gt;21.55*110%,"Forderung liegt über 10% des regional üblichen Entgeltes.","")</f>
        <v/>
      </c>
      <c r="H379" s="1247"/>
      <c r="I379" s="1247"/>
      <c r="J379" s="1247"/>
      <c r="K379" s="1247"/>
      <c r="L379" s="1247"/>
      <c r="M379" s="1247"/>
      <c r="N379" s="1247"/>
      <c r="O379" s="1247"/>
      <c r="P379" s="1247"/>
      <c r="Q379" s="1247"/>
      <c r="R379" s="1247"/>
      <c r="S379" s="1268"/>
      <c r="T379" s="328"/>
    </row>
    <row r="380" spans="1:58" ht="16.5" thickBot="1" x14ac:dyDescent="0.3">
      <c r="A380" s="1404"/>
      <c r="B380" s="1779"/>
      <c r="C380" s="1779"/>
      <c r="D380" s="1779"/>
      <c r="E380" s="1779"/>
      <c r="F380" s="1779"/>
      <c r="G380" s="1403"/>
      <c r="H380" s="1247"/>
      <c r="I380" s="1247"/>
      <c r="J380" s="1247"/>
      <c r="K380" s="1247"/>
      <c r="L380" s="1247"/>
      <c r="M380" s="1247"/>
      <c r="N380" s="1247"/>
      <c r="O380" s="1247"/>
      <c r="P380" s="1247"/>
      <c r="Q380" s="1247"/>
      <c r="R380" s="1247"/>
      <c r="S380" s="1268"/>
      <c r="T380" s="328"/>
    </row>
    <row r="381" spans="1:58" ht="25.5" x14ac:dyDescent="0.2">
      <c r="A381" s="1306" t="s">
        <v>397</v>
      </c>
      <c r="B381" s="1429">
        <f>IFERROR(AJ367/AG367,0)</f>
        <v>0</v>
      </c>
      <c r="C381" s="1777">
        <f>IFERROR(AK367/AH367,0)</f>
        <v>0</v>
      </c>
      <c r="D381" s="1778">
        <f>IFERROR(SUM(AL22:AL360)/D375,0)</f>
        <v>0</v>
      </c>
      <c r="E381" s="1777">
        <f>IFERROR(AL367/AI367,0)</f>
        <v>0</v>
      </c>
      <c r="F381" s="1778">
        <f>IFERROR(SUM(BC22:BC360)/F375,0)</f>
        <v>0</v>
      </c>
      <c r="G381" s="1247"/>
      <c r="H381" s="1247"/>
      <c r="I381" s="1247"/>
      <c r="J381" s="1247"/>
      <c r="K381" s="1247"/>
      <c r="L381" s="1247"/>
      <c r="M381" s="1247"/>
      <c r="N381" s="1247"/>
      <c r="O381" s="1247"/>
      <c r="P381" s="1247"/>
      <c r="Q381" s="1247"/>
      <c r="R381" s="1247"/>
      <c r="S381" s="1268"/>
      <c r="T381" s="328"/>
    </row>
    <row r="382" spans="1:58" ht="13.5" thickBot="1" x14ac:dyDescent="0.25">
      <c r="A382" s="1231"/>
      <c r="G382" s="1247"/>
      <c r="H382" s="1247"/>
      <c r="I382" s="1247"/>
      <c r="J382" s="1247"/>
      <c r="K382" s="1247"/>
      <c r="L382" s="1247"/>
      <c r="M382" s="1247"/>
      <c r="N382" s="1247"/>
      <c r="O382" s="1247"/>
      <c r="P382" s="1247"/>
      <c r="Q382" s="1247"/>
      <c r="R382" s="1247"/>
      <c r="S382" s="1307"/>
      <c r="T382" s="328"/>
    </row>
    <row r="383" spans="1:58" ht="15" thickBot="1" x14ac:dyDescent="0.25">
      <c r="A383" s="1762" t="s">
        <v>1386</v>
      </c>
      <c r="B383" s="1763"/>
      <c r="C383" s="1763"/>
      <c r="D383" s="1763"/>
      <c r="E383" s="1763"/>
      <c r="F383" s="1763"/>
      <c r="G383" s="1763"/>
      <c r="H383" s="1763"/>
      <c r="I383" s="1763"/>
      <c r="J383" s="1764"/>
      <c r="K383" s="1764"/>
      <c r="L383" s="1764"/>
      <c r="M383" s="1764"/>
      <c r="N383" s="1764"/>
      <c r="O383" s="1764"/>
      <c r="P383" s="1764"/>
      <c r="Q383" s="1764"/>
      <c r="R383" s="1764"/>
      <c r="S383" s="1765"/>
      <c r="T383" s="312"/>
      <c r="U383" s="312"/>
      <c r="V383" s="312"/>
      <c r="W383" s="312"/>
      <c r="X383" s="312"/>
      <c r="Y383" s="312"/>
      <c r="Z383" s="312"/>
      <c r="AA383" s="312"/>
      <c r="AB383" s="312"/>
      <c r="AC383" s="312"/>
      <c r="AD383" s="312"/>
      <c r="AE383" s="312"/>
      <c r="AF383" s="312"/>
      <c r="AG383" s="312"/>
      <c r="AH383" s="312"/>
      <c r="AI383" s="312"/>
      <c r="AJ383" s="312"/>
      <c r="AK383" s="312"/>
      <c r="AL383" s="312"/>
      <c r="AM383" s="755"/>
      <c r="AN383" s="771"/>
      <c r="AO383" s="789"/>
      <c r="AP383" s="789"/>
      <c r="AQ383" s="789"/>
      <c r="AR383" s="789"/>
      <c r="AS383" s="789"/>
      <c r="AT383" s="789"/>
      <c r="AU383" s="789"/>
      <c r="AV383" s="789"/>
      <c r="AW383" s="789"/>
      <c r="AX383" s="789"/>
      <c r="AY383" s="789"/>
      <c r="AZ383" s="789"/>
      <c r="BA383" s="789"/>
      <c r="BF383" s="443"/>
    </row>
  </sheetData>
  <sheetProtection algorithmName="SHA-512" hashValue="uOnKGA42DHRyZcvxDZQe/EN4pRA9IesmshTOjkWlAeN/isV67nSqVvvLyAPSaG4YWvv+vyLLOXD1H9YttsSu8w==" saltValue="ssb7TbQV1zmMHlleJJhxGg==" spinCount="100000" sheet="1" objects="1" scenarios="1"/>
  <mergeCells count="66">
    <mergeCell ref="BG19:BG21"/>
    <mergeCell ref="J297:S297"/>
    <mergeCell ref="O248:R248"/>
    <mergeCell ref="D123:Q127"/>
    <mergeCell ref="J249:S249"/>
    <mergeCell ref="J269:S269"/>
    <mergeCell ref="S17:S19"/>
    <mergeCell ref="G18:G19"/>
    <mergeCell ref="I18:I19"/>
    <mergeCell ref="J18:K18"/>
    <mergeCell ref="L18:M18"/>
    <mergeCell ref="N18:N19"/>
    <mergeCell ref="G17:M17"/>
    <mergeCell ref="D17:D19"/>
    <mergeCell ref="E17:E19"/>
    <mergeCell ref="F17:F19"/>
    <mergeCell ref="C373:D373"/>
    <mergeCell ref="E373:F373"/>
    <mergeCell ref="C368:D368"/>
    <mergeCell ref="E368:F368"/>
    <mergeCell ref="AC369:AF369"/>
    <mergeCell ref="U369:X369"/>
    <mergeCell ref="Y369:AB369"/>
    <mergeCell ref="C371:D371"/>
    <mergeCell ref="E371:F371"/>
    <mergeCell ref="H373:I373"/>
    <mergeCell ref="A383:S383"/>
    <mergeCell ref="C375:D375"/>
    <mergeCell ref="E375:F375"/>
    <mergeCell ref="B376:F376"/>
    <mergeCell ref="C377:D377"/>
    <mergeCell ref="E377:F377"/>
    <mergeCell ref="B379:F379"/>
    <mergeCell ref="C381:D381"/>
    <mergeCell ref="E381:F381"/>
    <mergeCell ref="B380:F380"/>
    <mergeCell ref="E3:M3"/>
    <mergeCell ref="E4:M4"/>
    <mergeCell ref="A6:S6"/>
    <mergeCell ref="G9:K9"/>
    <mergeCell ref="G8:I8"/>
    <mergeCell ref="C5:D5"/>
    <mergeCell ref="G10:K10"/>
    <mergeCell ref="P17:Q17"/>
    <mergeCell ref="N17:O17"/>
    <mergeCell ref="H18:H19"/>
    <mergeCell ref="AM368:AO368"/>
    <mergeCell ref="A223:D223"/>
    <mergeCell ref="AM19:AO19"/>
    <mergeCell ref="R17:R19"/>
    <mergeCell ref="C372:D372"/>
    <mergeCell ref="E372:F372"/>
    <mergeCell ref="J330:S330"/>
    <mergeCell ref="T18:AL18"/>
    <mergeCell ref="AG19:AI19"/>
    <mergeCell ref="AJ19:AL19"/>
    <mergeCell ref="A17:A19"/>
    <mergeCell ref="C17:C19"/>
    <mergeCell ref="C369:D369"/>
    <mergeCell ref="E369:F369"/>
    <mergeCell ref="O245:R245"/>
    <mergeCell ref="AP19:AR19"/>
    <mergeCell ref="AS19:AV19"/>
    <mergeCell ref="AS28:BA28"/>
    <mergeCell ref="O18:O19"/>
    <mergeCell ref="P18:Q18"/>
  </mergeCells>
  <phoneticPr fontId="66" type="noConversion"/>
  <conditionalFormatting sqref="E8:F8">
    <cfRule type="expression" dxfId="91" priority="24">
      <formula>$G$7="ja"</formula>
    </cfRule>
  </conditionalFormatting>
  <conditionalFormatting sqref="G8:I8">
    <cfRule type="expression" dxfId="87" priority="23">
      <formula>$G$7="ja"</formula>
    </cfRule>
  </conditionalFormatting>
  <dataValidations xWindow="995" yWindow="409" count="11">
    <dataValidation type="custom" allowBlank="1" showInputMessage="1" showErrorMessage="1" prompt="für Leiharbeitnehmer den VK-Umfang entsprechend der gepplanten wö. Stundenzahl und Einsatzzeitraum angeben, Eingabe mit 3 Nachkommastellen" sqref="C123:C127" xr:uid="{00000000-0002-0000-0300-000000000000}">
      <formula1>MOD(C123*10^3,1)=0</formula1>
    </dataValidation>
    <dataValidation allowBlank="1" showInputMessage="1" showErrorMessage="1" promptTitle="Eingabe" prompt="mit 3 Nachkommastellen" sqref="C224:C243 C131:C222 C22:C122" xr:uid="{00000000-0002-0000-0300-000001000000}"/>
    <dataValidation allowBlank="1" showInputMessage="1" showErrorMessage="1" promptTitle="Eingabe" prompt="mit maximal 3 Nachkommastellen" sqref="C331:C360 C250:C264 C298:C327 C270:C294" xr:uid="{00000000-0002-0000-0300-000002000000}"/>
    <dataValidation type="list" allowBlank="1" showInputMessage="1" prompt="für geringfügig Beschäftigte =&gt; Filter GfB wählen" sqref="A102" xr:uid="{00000000-0002-0000-0300-000003000000}">
      <formula1>"GfB"</formula1>
    </dataValidation>
    <dataValidation type="list" allowBlank="1" showInputMessage="1" sqref="A298:A327 A331:A360 A22:A101 A224:A243 A250:A264 A270:A294 A103:A109 A131:A222 A111:A122" xr:uid="{00000000-0002-0000-0300-000004000000}">
      <formula1>"GfB"</formula1>
    </dataValidation>
    <dataValidation allowBlank="1" showInputMessage="1" showErrorMessage="1" prompt="geplanten Gesamtpersonalkosten für Leiharbeitnehmer entsprechend des VK-Umfanges angeben" sqref="R123" xr:uid="{00000000-0002-0000-0300-000005000000}"/>
    <dataValidation allowBlank="1" showInputMessage="1" showErrorMessage="1" errorTitle="Berechnungshinweis" promptTitle="Berechnungshinweis" prompt="Die prozentualen Personalkostensteigerungen müssen bei der prognostischen Abbildung der einzelnen Entgeltbestandteile bereits enthalten sein." sqref="O14" xr:uid="{00000000-0002-0000-0300-000006000000}"/>
    <dataValidation allowBlank="1" showErrorMessage="1" sqref="G7:H7" xr:uid="{00000000-0002-0000-0300-000007000000}"/>
    <dataValidation type="list" allowBlank="1" showInputMessage="1" showErrorMessage="1" sqref="G8:I8" xr:uid="{00000000-0002-0000-0300-000008000000}">
      <formula1>"Tarif/ AVR maßgebend, regional übliches Entgelt"</formula1>
    </dataValidation>
    <dataValidation allowBlank="1" showInputMessage="1" sqref="A110:B110" xr:uid="{00000000-0002-0000-0300-000009000000}"/>
    <dataValidation allowBlank="1" sqref="A223" xr:uid="{00000000-0002-0000-0300-00000A000000}"/>
  </dataValidations>
  <hyperlinks>
    <hyperlink ref="A383:I383" location="Sachaufwendungen!A1" display="gehe weiter zu Sachaufwendungen" xr:uid="{00000000-0004-0000-0300-000000000000}"/>
    <hyperlink ref="A383:S383" location="'B2_Gesamtkalkulation '!Druckbereich" display="gehe weiter zu B2_Gesamtkalkulation 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37" fitToHeight="5" orientation="landscape"/>
  <headerFooter>
    <oddHeader>&amp;CSeite 3 Personalkostenübersicht</oddHeader>
    <oddFooter>&amp;LVersion: 21.11.2024&amp;CVerhandlungsunterlagen SGB XI (vereinfacht B2)&amp;RPSK-Beschluss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800FB4E-B0AC-483C-AFC2-0900E6BB38DA}">
            <xm:f>'B2_Allgemeine Angaben'!$D$7="vst"</xm:f>
            <x14:dxf>
              <font>
                <color auto="1"/>
              </font>
            </x14:dxf>
          </x14:cfRule>
          <xm:sqref>A267 D267</xm:sqref>
        </x14:conditionalFormatting>
        <x14:conditionalFormatting xmlns:xm="http://schemas.microsoft.com/office/excel/2006/main">
          <x14:cfRule type="expression" priority="18" id="{2949E5A1-EAE6-4C7C-A4F5-DF45DF8D9990}">
            <xm:f>'B2_Allgemeine Angaben'!$G$7&lt;&gt;1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A331:F360 H331:Q361 A361:G361</xm:sqref>
        </x14:conditionalFormatting>
        <x14:conditionalFormatting xmlns:xm="http://schemas.microsoft.com/office/excel/2006/main">
          <x14:cfRule type="expression" priority="7" id="{46B4E96A-1231-4A18-A374-51D1DB0C2026}">
            <xm:f>KAT!$I$19=2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</x14:dxf>
          </x14:cfRule>
          <xm:sqref>A110:S122 A223:S243</xm:sqref>
        </x14:conditionalFormatting>
        <x14:conditionalFormatting xmlns:xm="http://schemas.microsoft.com/office/excel/2006/main">
          <x14:cfRule type="expression" priority="4" id="{971BCF29-73AB-46FB-A451-EA3FB2EE5BBE}">
            <xm:f>'B2_Allgemeine Angaben'!$D$7="vst"</xm:f>
            <x14:dxf>
              <font>
                <b/>
                <i val="0"/>
                <color auto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C267</xm:sqref>
        </x14:conditionalFormatting>
        <x14:conditionalFormatting xmlns:xm="http://schemas.microsoft.com/office/excel/2006/main">
          <x14:cfRule type="expression" priority="16" id="{B206F84B-9F5B-42BC-A1D1-28FDBE63FD51}">
            <xm:f>'B2_Allgemeine Angaben'!$L$48=0</xm:f>
            <x14:dxf>
              <font>
                <color theme="7" tint="0.79998168889431442"/>
              </font>
              <fill>
                <patternFill>
                  <bgColor theme="7" tint="0.79998168889431442"/>
                </patternFill>
              </fill>
              <border>
                <vertical/>
                <horizontal/>
              </border>
            </x14:dxf>
          </x14:cfRule>
          <xm:sqref>C5:E5</xm:sqref>
        </x14:conditionalFormatting>
        <x14:conditionalFormatting xmlns:xm="http://schemas.microsoft.com/office/excel/2006/main">
          <x14:cfRule type="expression" priority="2" id="{CA53BEDF-392C-49BF-B256-BF97C8689EF9}">
            <xm:f>KAT!$A$18=0</xm:f>
            <x14:dxf>
              <font>
                <color theme="0"/>
              </font>
              <border>
                <left/>
                <right/>
                <bottom/>
                <vertical/>
                <horizontal/>
              </border>
            </x14:dxf>
          </x14:cfRule>
          <xm:sqref>C248:F248</xm:sqref>
        </x14:conditionalFormatting>
        <x14:conditionalFormatting xmlns:xm="http://schemas.microsoft.com/office/excel/2006/main">
          <x14:cfRule type="expression" priority="21" id="{8D1BD02D-01C6-4C36-8248-3A242171EF53}">
            <xm:f>'B2_Allgemeine Angaben'!$G$7&lt;&gt;1</xm:f>
            <x14:dxf>
              <font>
                <color theme="0" tint="-0.14996795556505021"/>
              </font>
              <border>
                <vertical/>
                <horizontal/>
              </border>
            </x14:dxf>
          </x14:cfRule>
          <xm:sqref>G298:G327</xm:sqref>
        </x14:conditionalFormatting>
        <x14:conditionalFormatting xmlns:xm="http://schemas.microsoft.com/office/excel/2006/main">
          <x14:cfRule type="expression" priority="17" id="{1CAAB1C7-E470-4F45-89F0-A952FBCAD132}">
            <xm:f>'B2_Allgemeine Angaben'!$G$7&lt;&gt;1</xm:f>
            <x14:dxf>
              <font>
                <color theme="0" tint="-0.14996795556505021"/>
              </font>
              <border>
                <vertical/>
                <horizontal/>
              </border>
            </x14:dxf>
          </x14:cfRule>
          <xm:sqref>G331:G360 R331:S360</xm:sqref>
        </x14:conditionalFormatting>
        <x14:conditionalFormatting xmlns:xm="http://schemas.microsoft.com/office/excel/2006/main">
          <x14:cfRule type="expression" priority="1" id="{1D60CA41-8A3C-440C-9F7C-E3E965E0411C}">
            <xm:f>KAT!$A$177="nein"</xm:f>
            <x14:dxf>
              <fill>
                <patternFill>
                  <bgColor theme="0"/>
                </patternFill>
              </fill>
            </x14:dxf>
          </x14:cfRule>
          <xm:sqref>G379</xm:sqref>
        </x14:conditionalFormatting>
        <x14:conditionalFormatting xmlns:xm="http://schemas.microsoft.com/office/excel/2006/main">
          <x14:cfRule type="expression" priority="22" id="{2CB828A9-08F0-4810-89D6-964C226E8FB8}">
            <xm:f>'B2_Allgemeine Angaben'!$G$7&lt;&gt;1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G297:S297 A297:F328 R328:S328 A329:S330 R361:S361 A362:S362</xm:sqref>
        </x14:conditionalFormatting>
        <x14:conditionalFormatting xmlns:xm="http://schemas.microsoft.com/office/excel/2006/main">
          <x14:cfRule type="expression" priority="15" id="{4C27B29C-6637-4C6F-BEF7-FECDBFA1DB29}">
            <xm:f>KAT!$K$5=1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left/>
                <right/>
                <top/>
                <bottom/>
              </border>
            </x14:dxf>
          </x14:cfRule>
          <xm:sqref>H366:L375</xm:sqref>
        </x14:conditionalFormatting>
        <x14:conditionalFormatting xmlns:xm="http://schemas.microsoft.com/office/excel/2006/main">
          <x14:cfRule type="expression" priority="20" id="{A03B613B-A03F-468D-A972-EB26F288E7B0}">
            <xm:f>'B2_Allgemeine Angaben'!$G$7&lt;&gt;1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  <border>
                <vertical/>
                <horizontal/>
              </border>
            </x14:dxf>
          </x14:cfRule>
          <xm:sqref>H298:Q328 G328</xm:sqref>
        </x14:conditionalFormatting>
        <x14:conditionalFormatting xmlns:xm="http://schemas.microsoft.com/office/excel/2006/main">
          <x14:cfRule type="expression" priority="19" id="{11883432-5A41-4DE6-AD4D-34BF307A56B5}">
            <xm:f>'B2_Allgemeine Angaben'!$G$7&lt;&gt;1</xm:f>
            <x14:dxf>
              <font>
                <color theme="0" tint="-0.14996795556505021"/>
              </font>
              <border>
                <vertical/>
                <horizontal/>
              </border>
            </x14:dxf>
          </x14:cfRule>
          <xm:sqref>R298:S327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95" yWindow="409" count="6">
        <x14:dataValidation type="list" allowBlank="1" showInputMessage="1" showErrorMessage="1" promptTitle="Beschäftigungsgruppen" prompt="PFK/BFK = Pflege-/Betreuungsfachkraft mind. 3 Jahre Berufsausbildung_x000a_PK/BK = Pflege-/Betreuungskraft mind. 1 Jahr Berufsausbildung_x000a_PK/BK o. = Pflege-/Betreuungskraft ohne mind 1 Jahr Berufsausbildung" xr:uid="{00000000-0002-0000-0300-00000B000000}">
          <x14:formula1>
            <xm:f>KAT!$A$94:$A$97</xm:f>
          </x14:formula1>
          <xm:sqref>B270:B294 B250:B264</xm:sqref>
        </x14:dataValidation>
        <x14:dataValidation type="list" allowBlank="1" showInputMessage="1" showErrorMessage="1" promptTitle="Beschäftigungsgruppen" prompt="PK/BK = Pflege-/Betreuungskraft mind. 1 Jahr Berufsausbildung_x000a_PK/BK o. = Pflege-/Betreuungskraft ohne mind 1 Jahr Berufsausbildung" xr:uid="{00000000-0002-0000-0300-00000C000000}">
          <x14:formula1>
            <xm:f>KAT!$A$95:$A$97</xm:f>
          </x14:formula1>
          <xm:sqref>B331:B360 B298:B327 B131:B222 B224:B243</xm:sqref>
        </x14:dataValidation>
        <x14:dataValidation type="list" allowBlank="1" showInputMessage="1" showErrorMessage="1" promptTitle="Beschäftigungsgruppen" prompt="PFK/BFK = Pflege-/Betreuungsfachkraft mind. 3 Jahre Berufsausbildung_x000a_" xr:uid="{00000000-0002-0000-0300-00000D000000}">
          <x14:formula1>
            <xm:f>KAT!$A$91:$A$94</xm:f>
          </x14:formula1>
          <xm:sqref>B22:B109</xm:sqref>
        </x14:dataValidation>
        <x14:dataValidation type="list" allowBlank="1" showInputMessage="1" showErrorMessage="1" prompt="SV Beitrag ohne U1 Teilnahme = 21,200%_x000a_SV Beitrag mit U1 Teilnahme = 23,350 %" xr:uid="{00000000-0002-0000-0300-00000E000000}">
          <x14:formula1>
            <xm:f>KAT!$C$112:$C$113</xm:f>
          </x14:formula1>
          <xm:sqref>J12</xm:sqref>
        </x14:dataValidation>
        <x14:dataValidation type="list" allowBlank="1" showInputMessage="1" showErrorMessage="1" prompt="28,350% ohne U1_x000a_29,250% mit U1" xr:uid="{00000000-0002-0000-0300-00000F000000}">
          <x14:formula1>
            <xm:f>KAT!$G$112:$G$113</xm:f>
          </x14:formula1>
          <xm:sqref>J15</xm:sqref>
        </x14:dataValidation>
        <x14:dataValidation type="list" allowBlank="1" showInputMessage="1" showErrorMessage="1" promptTitle="Beschäftigungsgruppen" prompt="PFK/BFK = Pflege-/Betreuungsfachkraft mind. 3 Jahre Berufsausbildung_x000a_" xr:uid="{00000000-0002-0000-0300-000010000000}">
          <x14:formula1>
            <xm:f>KAT!$A$94</xm:f>
          </x14:formula1>
          <xm:sqref>B111:B122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AA59"/>
  <sheetViews>
    <sheetView showGridLines="0" zoomScaleNormal="100" workbookViewId="0">
      <selection activeCell="H11" sqref="H11"/>
    </sheetView>
  </sheetViews>
  <sheetFormatPr baseColWidth="10" defaultColWidth="11" defaultRowHeight="14.25" x14ac:dyDescent="0.2"/>
  <cols>
    <col min="1" max="1" width="2.125" style="2" customWidth="1"/>
    <col min="2" max="2" width="5.625" style="2" customWidth="1"/>
    <col min="3" max="3" width="34.25" style="2" customWidth="1"/>
    <col min="4" max="4" width="16.625" style="2" customWidth="1"/>
    <col min="5" max="5" width="13.625" style="2" hidden="1" customWidth="1"/>
    <col min="6" max="6" width="11.625" style="2" hidden="1" customWidth="1"/>
    <col min="7" max="7" width="12.625" style="2" hidden="1" customWidth="1"/>
    <col min="8" max="8" width="13.625" style="2" customWidth="1"/>
    <col min="9" max="9" width="12.625" style="6" hidden="1" customWidth="1"/>
    <col min="10" max="10" width="13.625" style="2" customWidth="1"/>
    <col min="11" max="11" width="12.625" style="6" hidden="1" customWidth="1"/>
    <col min="12" max="12" width="13.625" style="2" customWidth="1"/>
    <col min="13" max="13" width="12.625" style="2" hidden="1" customWidth="1"/>
    <col min="14" max="14" width="13.625" style="2" customWidth="1"/>
    <col min="15" max="15" width="12.625" style="2" hidden="1" customWidth="1"/>
    <col min="16" max="16" width="13.625" style="2" customWidth="1"/>
    <col min="17" max="17" width="12.625" style="6" hidden="1" customWidth="1"/>
    <col min="18" max="18" width="13.625" style="2" customWidth="1"/>
    <col min="19" max="19" width="12.625" style="2" hidden="1" customWidth="1"/>
    <col min="20" max="20" width="13.625" style="2" customWidth="1"/>
    <col min="21" max="21" width="12.625" style="2" hidden="1" customWidth="1"/>
    <col min="22" max="22" width="13.625" style="2" customWidth="1"/>
    <col min="23" max="23" width="2.125" style="2" customWidth="1"/>
    <col min="24" max="42" width="11" style="2" customWidth="1"/>
    <col min="43" max="16384" width="11" style="2"/>
  </cols>
  <sheetData>
    <row r="1" spans="1:27" ht="15" customHeight="1" x14ac:dyDescent="0.25">
      <c r="A1" s="1826" t="str">
        <f>'B2_Allgemeine Angaben'!A1:N1</f>
        <v>Vereinfachtes Verfahren der Aufforderung zum Abschluss einer Pflegesatzvereinbarung gemäß § 84, 85 SGB XI (Stand 31.10.2024)</v>
      </c>
      <c r="B1" s="1827"/>
      <c r="C1" s="1827"/>
      <c r="D1" s="1827"/>
      <c r="E1" s="1827"/>
      <c r="F1" s="1827"/>
      <c r="G1" s="1827"/>
      <c r="H1" s="1827"/>
      <c r="I1" s="1828"/>
      <c r="J1" s="1828"/>
      <c r="K1" s="1828"/>
      <c r="L1" s="1828"/>
      <c r="M1" s="1828"/>
      <c r="N1" s="1828"/>
      <c r="O1" s="1828"/>
      <c r="P1" s="1828"/>
      <c r="Q1" s="1828"/>
      <c r="R1" s="1828"/>
      <c r="S1" s="1828"/>
      <c r="T1" s="1828"/>
      <c r="U1" s="1828"/>
      <c r="V1" s="1828"/>
      <c r="W1" s="1829"/>
      <c r="X1" s="448"/>
      <c r="Y1" s="449"/>
      <c r="Z1" s="450"/>
      <c r="AA1" s="451"/>
    </row>
    <row r="2" spans="1:27" ht="15" customHeight="1" x14ac:dyDescent="0.25">
      <c r="A2" s="1614" t="s">
        <v>70</v>
      </c>
      <c r="B2" s="1615"/>
      <c r="C2" s="1615"/>
      <c r="D2" s="1615"/>
      <c r="E2" s="1615"/>
      <c r="F2" s="1615"/>
      <c r="G2" s="1615"/>
      <c r="H2" s="1615"/>
      <c r="I2" s="1830"/>
      <c r="J2" s="1830"/>
      <c r="K2" s="1830"/>
      <c r="L2" s="1830"/>
      <c r="M2" s="1830"/>
      <c r="N2" s="1830"/>
      <c r="O2" s="1830"/>
      <c r="P2" s="1830"/>
      <c r="Q2" s="1830"/>
      <c r="R2" s="1830"/>
      <c r="S2" s="1830"/>
      <c r="T2" s="1830"/>
      <c r="U2" s="1830"/>
      <c r="V2" s="1830"/>
      <c r="W2" s="1831"/>
      <c r="X2" s="452"/>
    </row>
    <row r="3" spans="1:27" ht="15" customHeight="1" x14ac:dyDescent="0.2">
      <c r="A3" s="1835" t="str">
        <f>'B2_Allgemeine Angaben'!A3:N3</f>
        <v/>
      </c>
      <c r="B3" s="1836"/>
      <c r="C3" s="1836"/>
      <c r="D3" s="1836"/>
      <c r="E3" s="1836"/>
      <c r="F3" s="1836"/>
      <c r="G3" s="1836"/>
      <c r="H3" s="1836"/>
      <c r="I3" s="1830"/>
      <c r="J3" s="1830"/>
      <c r="K3" s="1830"/>
      <c r="L3" s="1830"/>
      <c r="M3" s="1830"/>
      <c r="N3" s="1830"/>
      <c r="O3" s="1830"/>
      <c r="P3" s="1830"/>
      <c r="Q3" s="1830"/>
      <c r="R3" s="1830"/>
      <c r="S3" s="1830"/>
      <c r="T3" s="1830"/>
      <c r="U3" s="1830"/>
      <c r="V3" s="1830"/>
      <c r="W3" s="1831"/>
      <c r="X3" s="453"/>
    </row>
    <row r="4" spans="1:27" ht="15" customHeight="1" x14ac:dyDescent="0.2">
      <c r="A4" s="1837" t="str">
        <f>'B2_Allgemeine Angaben'!A4:N4</f>
        <v/>
      </c>
      <c r="B4" s="1838"/>
      <c r="C4" s="1838"/>
      <c r="D4" s="1838"/>
      <c r="E4" s="1838"/>
      <c r="F4" s="1838"/>
      <c r="G4" s="1838"/>
      <c r="H4" s="1838"/>
      <c r="I4" s="1839"/>
      <c r="J4" s="1839"/>
      <c r="K4" s="1839"/>
      <c r="L4" s="1839"/>
      <c r="M4" s="1839"/>
      <c r="N4" s="1839"/>
      <c r="O4" s="1839"/>
      <c r="P4" s="1839"/>
      <c r="Q4" s="1839"/>
      <c r="R4" s="1839"/>
      <c r="S4" s="1839"/>
      <c r="T4" s="1839"/>
      <c r="U4" s="1839"/>
      <c r="V4" s="1839"/>
      <c r="W4" s="1840"/>
      <c r="X4" s="454"/>
    </row>
    <row r="5" spans="1:27" ht="14.25" customHeight="1" x14ac:dyDescent="0.2">
      <c r="A5" s="9"/>
      <c r="B5" s="1016"/>
      <c r="C5" s="1017"/>
      <c r="D5" s="1017"/>
      <c r="E5" s="1018" t="s">
        <v>71</v>
      </c>
      <c r="F5" s="1018"/>
      <c r="G5" s="240"/>
      <c r="H5"/>
      <c r="I5" s="1019"/>
      <c r="J5" s="1020" t="s">
        <v>126</v>
      </c>
      <c r="K5" s="1019"/>
      <c r="L5" s="1020" t="s">
        <v>127</v>
      </c>
      <c r="M5" s="240"/>
      <c r="N5" s="1020" t="s">
        <v>143</v>
      </c>
      <c r="O5" s="240"/>
      <c r="P5" s="1020" t="s">
        <v>74</v>
      </c>
      <c r="Q5" s="1019"/>
      <c r="R5"/>
      <c r="S5" s="240"/>
      <c r="T5"/>
      <c r="U5" s="240"/>
      <c r="V5"/>
      <c r="W5" s="8"/>
      <c r="X5" s="453"/>
    </row>
    <row r="6" spans="1:27" x14ac:dyDescent="0.2">
      <c r="A6" s="9"/>
      <c r="B6"/>
      <c r="C6" s="1021" t="s">
        <v>72</v>
      </c>
      <c r="D6" s="1022" t="str">
        <f>IF('B2_Allgemeine Angaben'!L47&gt;0,'B2_Allgemeine Angaben'!L47,"")</f>
        <v/>
      </c>
      <c r="E6" s="1019" t="s">
        <v>73</v>
      </c>
      <c r="F6" s="1019"/>
      <c r="G6" s="240"/>
      <c r="H6"/>
      <c r="I6" s="1019"/>
      <c r="J6" s="1023" t="str">
        <f>IF(B2_Kalkulation!I6&gt;0,B2_Kalkulation!I6,"")</f>
        <v/>
      </c>
      <c r="K6" s="1019"/>
      <c r="L6" s="1024" t="str">
        <f>IF(B2_Kalkulation!D6&gt;0,B2_Kalkulation!D6,"")</f>
        <v/>
      </c>
      <c r="M6" s="1025"/>
      <c r="N6" s="1026" t="str">
        <f>IFERROR(L6*J6*'B2_Allgemeine Angaben'!L47/100,"")</f>
        <v/>
      </c>
      <c r="O6" s="240"/>
      <c r="P6" s="1026" t="str">
        <f>IFERROR(ROUND(J6/12,2),"")</f>
        <v/>
      </c>
      <c r="Q6" s="1027"/>
      <c r="R6"/>
      <c r="S6" s="240"/>
      <c r="T6" s="377"/>
      <c r="U6" s="1028"/>
      <c r="V6" s="377"/>
      <c r="W6" s="8"/>
    </row>
    <row r="7" spans="1:27" ht="3" customHeight="1" x14ac:dyDescent="0.2">
      <c r="A7" s="9"/>
      <c r="B7"/>
      <c r="C7" s="1021"/>
      <c r="D7" s="1021"/>
      <c r="E7" s="1029"/>
      <c r="F7" s="1029"/>
      <c r="G7" s="240"/>
      <c r="H7"/>
      <c r="I7" s="1030"/>
      <c r="J7" s="1021"/>
      <c r="K7" s="1030"/>
      <c r="L7" s="1021"/>
      <c r="M7" s="1030"/>
      <c r="N7" s="1021"/>
      <c r="O7" s="240"/>
      <c r="P7"/>
      <c r="Q7" s="1030"/>
      <c r="R7" s="1021"/>
      <c r="S7" s="1030"/>
      <c r="T7" s="377"/>
      <c r="U7" s="1028"/>
      <c r="V7" s="377"/>
      <c r="W7" s="8"/>
    </row>
    <row r="8" spans="1:27" x14ac:dyDescent="0.2">
      <c r="A8" s="9"/>
      <c r="B8"/>
      <c r="C8" s="377"/>
      <c r="D8" s="1021"/>
      <c r="E8" s="1019" t="s">
        <v>75</v>
      </c>
      <c r="F8" s="1019"/>
      <c r="G8" s="240"/>
      <c r="H8"/>
      <c r="I8" s="1030"/>
      <c r="J8" s="1031" t="s">
        <v>144</v>
      </c>
      <c r="K8" s="1019"/>
      <c r="L8" s="1024" t="str">
        <f>IF('B2_Allgemeine Angaben'!D7="vst",100,IF('B2_Allgemeine Angaben'!D7="kzp",100,L6))</f>
        <v/>
      </c>
      <c r="M8" s="1029"/>
      <c r="N8" s="1026" t="str">
        <f>IFERROR(B2_Kalkulation!L12*J6*L8/100,"")</f>
        <v/>
      </c>
      <c r="O8" s="240"/>
      <c r="P8"/>
      <c r="Q8" s="1027"/>
      <c r="R8"/>
      <c r="S8" s="240"/>
      <c r="T8" s="377"/>
      <c r="U8" s="1028"/>
      <c r="V8" s="377"/>
      <c r="W8" s="8"/>
      <c r="X8" s="455"/>
    </row>
    <row r="9" spans="1:27" ht="9.9499999999999993" customHeight="1" x14ac:dyDescent="0.2">
      <c r="A9" s="9"/>
      <c r="B9"/>
      <c r="C9" s="377"/>
      <c r="D9" s="1021"/>
      <c r="E9" s="240"/>
      <c r="F9" s="240"/>
      <c r="G9" s="240"/>
      <c r="H9"/>
      <c r="I9" s="1030"/>
      <c r="J9" s="1021"/>
      <c r="K9" s="1021"/>
      <c r="L9" s="1021"/>
      <c r="M9" s="1025"/>
      <c r="N9" s="1032"/>
      <c r="O9" s="240"/>
      <c r="P9"/>
      <c r="Q9" s="1025"/>
      <c r="R9" s="1032"/>
      <c r="S9" s="240"/>
      <c r="T9" s="377"/>
      <c r="U9" s="1028"/>
      <c r="V9" s="377"/>
      <c r="W9" s="8"/>
      <c r="X9" s="455"/>
    </row>
    <row r="10" spans="1:27" x14ac:dyDescent="0.2">
      <c r="A10" s="9"/>
      <c r="B10"/>
      <c r="C10" s="1031"/>
      <c r="D10" s="244" t="s">
        <v>29</v>
      </c>
      <c r="E10" s="1033">
        <f>SUM(H10:P10)</f>
        <v>0</v>
      </c>
      <c r="F10" s="1033" t="s">
        <v>206</v>
      </c>
      <c r="G10" s="240"/>
      <c r="H10" s="1034">
        <f>B2_Kalkulation!H14</f>
        <v>0</v>
      </c>
      <c r="I10" s="1035"/>
      <c r="J10" s="1034">
        <f>B2_Kalkulation!I14</f>
        <v>0</v>
      </c>
      <c r="K10" s="1035"/>
      <c r="L10" s="1034">
        <f>B2_Kalkulation!J14</f>
        <v>0</v>
      </c>
      <c r="M10" s="1036"/>
      <c r="N10" s="1034">
        <f>B2_Kalkulation!K14</f>
        <v>0</v>
      </c>
      <c r="O10" s="1036"/>
      <c r="P10" s="1034">
        <f>B2_Kalkulation!L14</f>
        <v>0</v>
      </c>
      <c r="Q10" s="1019"/>
      <c r="R10"/>
      <c r="S10" s="240"/>
      <c r="T10" s="377"/>
      <c r="U10" s="1028"/>
      <c r="V10" s="377"/>
      <c r="W10" s="8"/>
      <c r="X10" s="455"/>
    </row>
    <row r="11" spans="1:27" x14ac:dyDescent="0.2">
      <c r="A11" s="9"/>
      <c r="B11"/>
      <c r="C11" s="1031"/>
      <c r="D11" s="244" t="s">
        <v>56</v>
      </c>
      <c r="E11" s="1037">
        <f>SUM(H11:P11)</f>
        <v>0</v>
      </c>
      <c r="F11" s="1038" t="e">
        <f>J11+L11+N11+P11</f>
        <v>#VALUE!</v>
      </c>
      <c r="G11" s="240"/>
      <c r="H11" s="1039" t="str">
        <f>IFERROR(H10*$J$6*$L$6/100,"")</f>
        <v/>
      </c>
      <c r="I11" s="1019"/>
      <c r="J11" s="1039" t="str">
        <f>IFERROR(J10*$J$6*$L$6/100,"")</f>
        <v/>
      </c>
      <c r="K11" s="1019"/>
      <c r="L11" s="1039" t="str">
        <f>IFERROR(L10*$J$6*$L$6/100,"")</f>
        <v/>
      </c>
      <c r="M11" s="240"/>
      <c r="N11" s="1039" t="str">
        <f>IFERROR(N10*$J$6*$L$6/100,"")</f>
        <v/>
      </c>
      <c r="O11" s="240"/>
      <c r="P11" s="1039" t="str">
        <f>IFERROR(P10*$J$6*$L$6/100,"")</f>
        <v/>
      </c>
      <c r="Q11" s="1019"/>
      <c r="R11"/>
      <c r="S11" s="240"/>
      <c r="T11"/>
      <c r="U11" s="240"/>
      <c r="V11"/>
      <c r="W11" s="8"/>
    </row>
    <row r="12" spans="1:27" x14ac:dyDescent="0.2">
      <c r="A12" s="9"/>
      <c r="B12"/>
      <c r="C12" s="1031"/>
      <c r="D12" s="1032" t="s">
        <v>76</v>
      </c>
      <c r="E12" s="1038"/>
      <c r="F12" s="1038"/>
      <c r="G12" s="240"/>
      <c r="H12" s="1040"/>
      <c r="I12" s="1019"/>
      <c r="J12" s="1041">
        <v>805</v>
      </c>
      <c r="K12" s="1019"/>
      <c r="L12" s="1041">
        <v>1319</v>
      </c>
      <c r="M12" s="240"/>
      <c r="N12" s="1041">
        <v>1855</v>
      </c>
      <c r="O12" s="240"/>
      <c r="P12" s="1041">
        <v>2096</v>
      </c>
      <c r="Q12" s="1019"/>
      <c r="R12"/>
      <c r="S12" s="240"/>
      <c r="T12"/>
      <c r="U12" s="240"/>
      <c r="V12"/>
      <c r="W12" s="8"/>
      <c r="X12" s="454"/>
    </row>
    <row r="13" spans="1:27" ht="9.9499999999999993" customHeight="1" x14ac:dyDescent="0.2">
      <c r="A13" s="9"/>
      <c r="B13"/>
      <c r="C13"/>
      <c r="D13"/>
      <c r="E13" s="240"/>
      <c r="F13" s="1042"/>
      <c r="G13" s="1043"/>
      <c r="H13"/>
      <c r="I13" s="1043"/>
      <c r="J13"/>
      <c r="K13" s="1043"/>
      <c r="L13"/>
      <c r="M13" s="1043"/>
      <c r="N13"/>
      <c r="O13" s="240"/>
      <c r="P13"/>
      <c r="Q13" s="1019"/>
      <c r="R13"/>
      <c r="S13" s="240"/>
      <c r="T13"/>
      <c r="U13" s="240"/>
      <c r="V13"/>
      <c r="W13" s="8"/>
      <c r="X13" s="454"/>
    </row>
    <row r="14" spans="1:27" ht="39.950000000000003" customHeight="1" x14ac:dyDescent="0.2">
      <c r="A14" s="9"/>
      <c r="B14"/>
      <c r="C14" s="1"/>
      <c r="D14" s="1044"/>
      <c r="E14" s="1045"/>
      <c r="F14" s="1045"/>
      <c r="G14" s="1046" t="s">
        <v>77</v>
      </c>
      <c r="H14" s="1047" t="s">
        <v>153</v>
      </c>
      <c r="I14" s="1046" t="s">
        <v>78</v>
      </c>
      <c r="J14" s="1048" t="s">
        <v>154</v>
      </c>
      <c r="K14" s="1046" t="s">
        <v>79</v>
      </c>
      <c r="L14" s="1048" t="s">
        <v>155</v>
      </c>
      <c r="M14" s="1046" t="s">
        <v>80</v>
      </c>
      <c r="N14" s="1048" t="s">
        <v>156</v>
      </c>
      <c r="O14" s="1046" t="s">
        <v>81</v>
      </c>
      <c r="P14" s="1048" t="s">
        <v>157</v>
      </c>
      <c r="Q14" s="1046" t="s">
        <v>82</v>
      </c>
      <c r="R14" s="1048" t="s">
        <v>158</v>
      </c>
      <c r="S14" s="1046" t="s">
        <v>83</v>
      </c>
      <c r="T14" s="1047" t="s">
        <v>159</v>
      </c>
      <c r="U14" s="1046" t="s">
        <v>145</v>
      </c>
      <c r="V14" s="1047" t="s">
        <v>160</v>
      </c>
      <c r="W14" s="8"/>
      <c r="X14" s="454"/>
    </row>
    <row r="15" spans="1:27" x14ac:dyDescent="0.2">
      <c r="A15" s="9"/>
      <c r="B15" s="223"/>
      <c r="C15" s="223"/>
      <c r="D15" s="1049" t="s">
        <v>84</v>
      </c>
      <c r="E15" s="1050" t="s">
        <v>85</v>
      </c>
      <c r="F15" s="1050" t="s">
        <v>142</v>
      </c>
      <c r="G15" s="1051" t="s">
        <v>86</v>
      </c>
      <c r="H15" s="1052" t="s">
        <v>586</v>
      </c>
      <c r="I15" s="1053" t="s">
        <v>86</v>
      </c>
      <c r="J15" s="1054" t="s">
        <v>587</v>
      </c>
      <c r="K15" s="1051" t="s">
        <v>86</v>
      </c>
      <c r="L15" s="1052" t="s">
        <v>586</v>
      </c>
      <c r="M15" s="1051" t="s">
        <v>86</v>
      </c>
      <c r="N15" s="1052" t="s">
        <v>586</v>
      </c>
      <c r="O15" s="1051" t="s">
        <v>86</v>
      </c>
      <c r="P15" s="1052" t="s">
        <v>586</v>
      </c>
      <c r="Q15" s="1051" t="s">
        <v>86</v>
      </c>
      <c r="R15" s="1052" t="s">
        <v>586</v>
      </c>
      <c r="S15" s="1051" t="s">
        <v>86</v>
      </c>
      <c r="T15" s="1052" t="s">
        <v>586</v>
      </c>
      <c r="U15" s="1051" t="s">
        <v>86</v>
      </c>
      <c r="V15" s="1052" t="s">
        <v>586</v>
      </c>
      <c r="W15" s="8"/>
      <c r="X15" s="455"/>
    </row>
    <row r="16" spans="1:27" x14ac:dyDescent="0.2">
      <c r="A16" s="9"/>
      <c r="B16" s="1055" t="s">
        <v>87</v>
      </c>
      <c r="C16" s="1055" t="s">
        <v>213</v>
      </c>
      <c r="D16" s="1056" t="str">
        <f>IF(SUM(D17:D18,D20:D24)=0,"",SUM(D17:D18,D20:D24))</f>
        <v/>
      </c>
      <c r="E16" s="1057" t="e">
        <f>G16+I16+K16+M16+O16+Q16</f>
        <v>#DIV/0!</v>
      </c>
      <c r="F16" s="1058"/>
      <c r="G16" s="1059" t="e">
        <f>SUM(G17:G24)</f>
        <v>#DIV/0!</v>
      </c>
      <c r="H16" s="1060" t="e">
        <f t="shared" ref="H16:P16" si="0">SUM(H17:H24)</f>
        <v>#DIV/0!</v>
      </c>
      <c r="I16" s="1061" t="e">
        <f>SUM(I17:I24)</f>
        <v>#DIV/0!</v>
      </c>
      <c r="J16" s="1060" t="e">
        <f t="shared" si="0"/>
        <v>#DIV/0!</v>
      </c>
      <c r="K16" s="1062" t="e">
        <f t="shared" si="0"/>
        <v>#DIV/0!</v>
      </c>
      <c r="L16" s="1063" t="e">
        <f t="shared" si="0"/>
        <v>#DIV/0!</v>
      </c>
      <c r="M16" s="1062" t="e">
        <f t="shared" si="0"/>
        <v>#DIV/0!</v>
      </c>
      <c r="N16" s="1063" t="e">
        <f t="shared" si="0"/>
        <v>#DIV/0!</v>
      </c>
      <c r="O16" s="1062" t="e">
        <f t="shared" si="0"/>
        <v>#DIV/0!</v>
      </c>
      <c r="P16" s="1063" t="e">
        <f t="shared" si="0"/>
        <v>#DIV/0!</v>
      </c>
      <c r="Q16" s="1062">
        <f>SUM(Q20:Q24)</f>
        <v>0</v>
      </c>
      <c r="R16" s="1063" t="e">
        <f>SUM(R20:R24)</f>
        <v>#VALUE!</v>
      </c>
      <c r="S16" s="1064"/>
      <c r="T16" s="1065"/>
      <c r="U16" s="1064"/>
      <c r="V16" s="1065"/>
      <c r="W16" s="8"/>
    </row>
    <row r="17" spans="1:24" x14ac:dyDescent="0.2">
      <c r="A17" s="9"/>
      <c r="B17" s="1066" t="s">
        <v>88</v>
      </c>
      <c r="C17" s="1067" t="s">
        <v>140</v>
      </c>
      <c r="D17" s="1068">
        <f>IF((B2_Kalkulation!L26*B2_Kalkulation!J26)=0,0,(B2_Kalkulation!L26*B2_Kalkulation!J26))</f>
        <v>0</v>
      </c>
      <c r="E17" s="1058" t="e">
        <f>G17+I17+K17+M17+O17</f>
        <v>#DIV/0!</v>
      </c>
      <c r="F17" s="1058">
        <v>1</v>
      </c>
      <c r="G17" s="1069" t="e">
        <f>IF('B2_Allgemeine Angaben'!D7&lt;&gt;"vst",$D17*$F17/B2_Kalkulation!J26*B2_Kalkulation!H14/B2_Kalkulation!I20,'B2_Gesamtkalkulation '!$D$17*$F17*KAT!E69)</f>
        <v>#DIV/0!</v>
      </c>
      <c r="H17" s="1070" t="e">
        <f>G17/$H$11</f>
        <v>#DIV/0!</v>
      </c>
      <c r="I17" s="1069" t="e">
        <f>IF('B2_Allgemeine Angaben'!D7&lt;&gt;"vst",$D17*$F17/B2_Kalkulation!J26*B2_Kalkulation!I14/B2_Kalkulation!I21,'B2_Gesamtkalkulation '!$D$17*$F17*KAT!E70)</f>
        <v>#DIV/0!</v>
      </c>
      <c r="J17" s="1070" t="e">
        <f>I17/$J$11</f>
        <v>#DIV/0!</v>
      </c>
      <c r="K17" s="1069" t="e">
        <f>IF('B2_Allgemeine Angaben'!D7&lt;&gt;"vst",$D17*$F17/B2_Kalkulation!J26*B2_Kalkulation!J14/B2_Kalkulation!I22,'B2_Gesamtkalkulation '!D17*$F17*KAT!E71)</f>
        <v>#DIV/0!</v>
      </c>
      <c r="L17" s="1070" t="e">
        <f t="shared" ref="L17:L24" si="1">K17/$L$11</f>
        <v>#DIV/0!</v>
      </c>
      <c r="M17" s="1069" t="e">
        <f>IF('B2_Allgemeine Angaben'!D7&lt;&gt;"vst",$D17*$F17/B2_Kalkulation!J26*B2_Kalkulation!K14/B2_Kalkulation!I23,'B2_Gesamtkalkulation '!$D$17*$F17*KAT!E72)</f>
        <v>#DIV/0!</v>
      </c>
      <c r="N17" s="1070" t="e">
        <f t="shared" ref="N17:N24" si="2">M17/$N$11</f>
        <v>#DIV/0!</v>
      </c>
      <c r="O17" s="1069" t="e">
        <f>IF('B2_Allgemeine Angaben'!D7&lt;&gt;"vst",$D17*$F17/B2_Kalkulation!J26*B2_Kalkulation!L14/B2_Kalkulation!I24,'B2_Gesamtkalkulation '!$D$17*$F17*KAT!E73)</f>
        <v>#DIV/0!</v>
      </c>
      <c r="P17" s="1070" t="e">
        <f t="shared" ref="P17:P24" si="3">O17/$P$11</f>
        <v>#DIV/0!</v>
      </c>
      <c r="Q17" s="1071"/>
      <c r="R17" s="1072"/>
      <c r="S17" s="1064"/>
      <c r="T17" s="1065"/>
      <c r="U17" s="1064"/>
      <c r="V17" s="1065"/>
      <c r="W17" s="8"/>
      <c r="X17" s="457"/>
    </row>
    <row r="18" spans="1:24" x14ac:dyDescent="0.2">
      <c r="A18" s="9"/>
      <c r="B18" s="1066" t="s">
        <v>89</v>
      </c>
      <c r="C18" s="1067" t="s">
        <v>141</v>
      </c>
      <c r="D18" s="1068">
        <f>IF((B2_Kalkulation!L27*B2_Kalkulation!J27)=0,0,(B2_Kalkulation!L27*B2_Kalkulation!J27))</f>
        <v>0</v>
      </c>
      <c r="E18" s="1058" t="e">
        <f>G18+I18+K18+M18+O18+Q18</f>
        <v>#VALUE!</v>
      </c>
      <c r="F18" s="1058">
        <v>1</v>
      </c>
      <c r="G18" s="1069" t="e">
        <f>D18*F18/$N$6*$H$11</f>
        <v>#VALUE!</v>
      </c>
      <c r="H18" s="1073" t="e">
        <f>G18/$H$11</f>
        <v>#VALUE!</v>
      </c>
      <c r="I18" s="1074" t="e">
        <f>D18*F18/$N$6*$J$11</f>
        <v>#VALUE!</v>
      </c>
      <c r="J18" s="1073" t="e">
        <f>I18/$J$11</f>
        <v>#VALUE!</v>
      </c>
      <c r="K18" s="1075" t="e">
        <f>D18*F18/$N$6*$L$11</f>
        <v>#VALUE!</v>
      </c>
      <c r="L18" s="1073" t="e">
        <f t="shared" si="1"/>
        <v>#VALUE!</v>
      </c>
      <c r="M18" s="1075" t="e">
        <f>D18*F18/$N$6*$N$11</f>
        <v>#VALUE!</v>
      </c>
      <c r="N18" s="1073" t="e">
        <f t="shared" si="2"/>
        <v>#VALUE!</v>
      </c>
      <c r="O18" s="1075" t="e">
        <f>D18*F18/$N$6*$P$11</f>
        <v>#VALUE!</v>
      </c>
      <c r="P18" s="1073" t="e">
        <f t="shared" si="3"/>
        <v>#VALUE!</v>
      </c>
      <c r="Q18" s="1076"/>
      <c r="R18" s="1065"/>
      <c r="S18" s="1064"/>
      <c r="T18" s="1065"/>
      <c r="U18" s="1064"/>
      <c r="V18" s="1065"/>
      <c r="W18" s="8"/>
    </row>
    <row r="19" spans="1:24" x14ac:dyDescent="0.2">
      <c r="A19" s="9"/>
      <c r="B19" s="1066" t="s">
        <v>90</v>
      </c>
      <c r="C19" s="1067" t="s">
        <v>301</v>
      </c>
      <c r="D19" s="1068">
        <f>IF((B2_Kalkulation!L34*B2_Kalkulation!J34)=0,0,(B2_Kalkulation!L34*B2_Kalkulation!J34))</f>
        <v>0</v>
      </c>
      <c r="E19" s="1058"/>
      <c r="F19" s="1058"/>
      <c r="G19" s="1069"/>
      <c r="H19" s="1077"/>
      <c r="I19" s="1077"/>
      <c r="J19" s="1077"/>
      <c r="K19" s="1077"/>
      <c r="L19" s="1077"/>
      <c r="M19" s="1077"/>
      <c r="N19" s="1077"/>
      <c r="O19" s="1077"/>
      <c r="P19" s="1077"/>
      <c r="Q19" s="1078"/>
      <c r="R19" s="1079"/>
      <c r="S19" s="1079"/>
      <c r="T19" s="1079"/>
      <c r="U19" s="1080">
        <f>D19</f>
        <v>0</v>
      </c>
      <c r="V19" s="1081" t="e">
        <f>U19/$N$8</f>
        <v>#VALUE!</v>
      </c>
      <c r="W19" s="8"/>
      <c r="X19" s="458"/>
    </row>
    <row r="20" spans="1:24" x14ac:dyDescent="0.2">
      <c r="A20" s="9"/>
      <c r="B20" s="1066" t="s">
        <v>91</v>
      </c>
      <c r="C20" s="1067" t="s">
        <v>302</v>
      </c>
      <c r="D20" s="1068">
        <f>IF((B2_Kalkulation!L29*B2_Kalkulation!J29)=0,0,(B2_Kalkulation!L29*B2_Kalkulation!J29))</f>
        <v>0</v>
      </c>
      <c r="E20" s="1058" t="e">
        <f>G20+I20+K20+M20+O20+Q20</f>
        <v>#VALUE!</v>
      </c>
      <c r="F20" s="1058">
        <v>0.5</v>
      </c>
      <c r="G20" s="1069" t="e">
        <f>D20*F20/$N$6*$H$11</f>
        <v>#VALUE!</v>
      </c>
      <c r="H20" s="1082" t="e">
        <f>G20/$H$11</f>
        <v>#VALUE!</v>
      </c>
      <c r="I20" s="1083" t="e">
        <f>D20*F20/$N$6*$J$11</f>
        <v>#VALUE!</v>
      </c>
      <c r="J20" s="1082" t="e">
        <f>I20/$J$11</f>
        <v>#VALUE!</v>
      </c>
      <c r="K20" s="1084" t="e">
        <f>D20*F20/$N$6*$L$11</f>
        <v>#VALUE!</v>
      </c>
      <c r="L20" s="1082" t="e">
        <f>K20/$L$11</f>
        <v>#VALUE!</v>
      </c>
      <c r="M20" s="1084" t="e">
        <f>D20*F20/$N$6*$N$11</f>
        <v>#VALUE!</v>
      </c>
      <c r="N20" s="1082" t="e">
        <f t="shared" si="2"/>
        <v>#VALUE!</v>
      </c>
      <c r="O20" s="1084" t="e">
        <f>D20*F20/$N$6*$P$11</f>
        <v>#VALUE!</v>
      </c>
      <c r="P20" s="1082" t="e">
        <f>O20/$P$11</f>
        <v>#VALUE!</v>
      </c>
      <c r="Q20" s="1084">
        <f>D20*F20</f>
        <v>0</v>
      </c>
      <c r="R20" s="1082" t="e">
        <f>Q20/$N$6</f>
        <v>#VALUE!</v>
      </c>
      <c r="S20" s="1064"/>
      <c r="T20" s="1065"/>
      <c r="U20" s="1064"/>
      <c r="V20" s="1065"/>
      <c r="W20" s="8"/>
    </row>
    <row r="21" spans="1:24" x14ac:dyDescent="0.2">
      <c r="A21" s="9"/>
      <c r="B21" s="1085" t="s">
        <v>92</v>
      </c>
      <c r="C21" s="1067" t="s">
        <v>62</v>
      </c>
      <c r="D21" s="1068">
        <f>IF((B2_Kalkulation!L30*B2_Kalkulation!J30)=0,0,(B2_Kalkulation!L30*B2_Kalkulation!J30))</f>
        <v>0</v>
      </c>
      <c r="E21" s="1058" t="e">
        <f>G21+I21+K21+M21+O21+Q21</f>
        <v>#VALUE!</v>
      </c>
      <c r="F21" s="1058">
        <v>0.5</v>
      </c>
      <c r="G21" s="1069" t="e">
        <f>D21*F21/$N$6*$H$11</f>
        <v>#VALUE!</v>
      </c>
      <c r="H21" s="1070" t="e">
        <f>G21/$H$11</f>
        <v>#VALUE!</v>
      </c>
      <c r="I21" s="1086" t="e">
        <f>D21*F21/$N$6*$J$11</f>
        <v>#VALUE!</v>
      </c>
      <c r="J21" s="1070" t="e">
        <f>I21/$J$11</f>
        <v>#VALUE!</v>
      </c>
      <c r="K21" s="1069" t="e">
        <f>D21*F21/$N$6*$L$11</f>
        <v>#VALUE!</v>
      </c>
      <c r="L21" s="1070" t="e">
        <f>K21/$L$11</f>
        <v>#VALUE!</v>
      </c>
      <c r="M21" s="1069" t="e">
        <f>D21*F21/$N$6*$N$11</f>
        <v>#VALUE!</v>
      </c>
      <c r="N21" s="1070" t="e">
        <f t="shared" si="2"/>
        <v>#VALUE!</v>
      </c>
      <c r="O21" s="1069" t="e">
        <f>D21*F21/$N$6*$P$11</f>
        <v>#VALUE!</v>
      </c>
      <c r="P21" s="1070" t="e">
        <f t="shared" si="3"/>
        <v>#VALUE!</v>
      </c>
      <c r="Q21" s="1069">
        <f>D21*F21</f>
        <v>0</v>
      </c>
      <c r="R21" s="1070" t="e">
        <f t="shared" ref="R21:R24" si="4">Q21/$N$6</f>
        <v>#VALUE!</v>
      </c>
      <c r="S21" s="1064"/>
      <c r="T21" s="1065"/>
      <c r="U21" s="1064"/>
      <c r="V21" s="1065"/>
      <c r="W21" s="8"/>
      <c r="X21" s="459"/>
    </row>
    <row r="22" spans="1:24" x14ac:dyDescent="0.2">
      <c r="A22" s="9"/>
      <c r="B22" s="1066" t="s">
        <v>93</v>
      </c>
      <c r="C22" s="1067" t="s">
        <v>32</v>
      </c>
      <c r="D22" s="1068">
        <f>IF((B2_Kalkulation!L31*B2_Kalkulation!J31)=0,0,(B2_Kalkulation!L31*B2_Kalkulation!J31))</f>
        <v>0</v>
      </c>
      <c r="E22" s="1058" t="e">
        <f>G22+I22+K22+M22+O22+Q22</f>
        <v>#VALUE!</v>
      </c>
      <c r="F22" s="1058">
        <v>0.5</v>
      </c>
      <c r="G22" s="1069" t="e">
        <f>D22*F22/$N$6*$H$11</f>
        <v>#VALUE!</v>
      </c>
      <c r="H22" s="1070" t="e">
        <f>G22/$H$11</f>
        <v>#VALUE!</v>
      </c>
      <c r="I22" s="1086" t="e">
        <f>D22*F22/$N$6*$J$11</f>
        <v>#VALUE!</v>
      </c>
      <c r="J22" s="1070" t="e">
        <f>I22/$J$11</f>
        <v>#VALUE!</v>
      </c>
      <c r="K22" s="1069" t="e">
        <f>D22*F22/$N$6*$L$11</f>
        <v>#VALUE!</v>
      </c>
      <c r="L22" s="1070" t="e">
        <f t="shared" si="1"/>
        <v>#VALUE!</v>
      </c>
      <c r="M22" s="1069" t="e">
        <f>D22*F22/$N$6*$N$11</f>
        <v>#VALUE!</v>
      </c>
      <c r="N22" s="1070" t="e">
        <f t="shared" si="2"/>
        <v>#VALUE!</v>
      </c>
      <c r="O22" s="1069" t="e">
        <f>D22*F22/$N$6*$P$11</f>
        <v>#VALUE!</v>
      </c>
      <c r="P22" s="1070" t="e">
        <f t="shared" si="3"/>
        <v>#VALUE!</v>
      </c>
      <c r="Q22" s="1069">
        <f>D22*F22</f>
        <v>0</v>
      </c>
      <c r="R22" s="1070" t="e">
        <f t="shared" si="4"/>
        <v>#VALUE!</v>
      </c>
      <c r="S22" s="1064"/>
      <c r="T22" s="1065"/>
      <c r="U22" s="1064"/>
      <c r="V22" s="1065"/>
      <c r="W22" s="8"/>
    </row>
    <row r="23" spans="1:24" x14ac:dyDescent="0.2">
      <c r="A23" s="9"/>
      <c r="B23" s="1066" t="s">
        <v>94</v>
      </c>
      <c r="C23" s="1067" t="s">
        <v>33</v>
      </c>
      <c r="D23" s="1068">
        <f>IF((B2_Kalkulation!L32*B2_Kalkulation!J32)=0,0,(B2_Kalkulation!L32*B2_Kalkulation!J32))</f>
        <v>0</v>
      </c>
      <c r="E23" s="1058" t="e">
        <f>G23+I23+K23+M23+O23+Q23</f>
        <v>#VALUE!</v>
      </c>
      <c r="F23" s="1058">
        <v>0.5</v>
      </c>
      <c r="G23" s="1069" t="e">
        <f>D23*F23/$N$6*$H$11</f>
        <v>#VALUE!</v>
      </c>
      <c r="H23" s="1070" t="e">
        <f>G23/$H$11</f>
        <v>#VALUE!</v>
      </c>
      <c r="I23" s="1086" t="e">
        <f>D23*F23/$N$6*$J$11</f>
        <v>#VALUE!</v>
      </c>
      <c r="J23" s="1070" t="e">
        <f>I23/$J$11</f>
        <v>#VALUE!</v>
      </c>
      <c r="K23" s="1069" t="e">
        <f>D23*F23/$N$6*$L$11</f>
        <v>#VALUE!</v>
      </c>
      <c r="L23" s="1070" t="e">
        <f t="shared" si="1"/>
        <v>#VALUE!</v>
      </c>
      <c r="M23" s="1069" t="e">
        <f>D23*F23/$N$6*$N$11</f>
        <v>#VALUE!</v>
      </c>
      <c r="N23" s="1070" t="e">
        <f t="shared" si="2"/>
        <v>#VALUE!</v>
      </c>
      <c r="O23" s="1069" t="e">
        <f>D23*F23/$N$6*$P$11</f>
        <v>#VALUE!</v>
      </c>
      <c r="P23" s="1070" t="e">
        <f t="shared" si="3"/>
        <v>#VALUE!</v>
      </c>
      <c r="Q23" s="1069">
        <f>D23*F23</f>
        <v>0</v>
      </c>
      <c r="R23" s="1070" t="e">
        <f t="shared" si="4"/>
        <v>#VALUE!</v>
      </c>
      <c r="S23" s="1064"/>
      <c r="T23" s="1065"/>
      <c r="U23" s="1064"/>
      <c r="V23" s="1065"/>
      <c r="W23" s="8"/>
    </row>
    <row r="24" spans="1:24" x14ac:dyDescent="0.2">
      <c r="A24" s="9"/>
      <c r="B24" s="1066" t="s">
        <v>104</v>
      </c>
      <c r="C24" s="1087" t="s">
        <v>214</v>
      </c>
      <c r="D24" s="1068">
        <f>B2_Kalkulation!L33*B2_Kalkulation!J33</f>
        <v>0</v>
      </c>
      <c r="E24" s="1058" t="e">
        <f>G24+I24+K24+M24+O24+Q24</f>
        <v>#VALUE!</v>
      </c>
      <c r="F24" s="1058">
        <v>0.5</v>
      </c>
      <c r="G24" s="1069" t="e">
        <f>D24*F24/$N$6*$H$11</f>
        <v>#VALUE!</v>
      </c>
      <c r="H24" s="1070" t="e">
        <f>G24/$H$11</f>
        <v>#VALUE!</v>
      </c>
      <c r="I24" s="1086" t="e">
        <f>D24*F24/$N$6*$J$11</f>
        <v>#VALUE!</v>
      </c>
      <c r="J24" s="1070" t="e">
        <f>I24/$J$11</f>
        <v>#VALUE!</v>
      </c>
      <c r="K24" s="1069" t="e">
        <f>D24*F24/$N$6*$L$11</f>
        <v>#VALUE!</v>
      </c>
      <c r="L24" s="1070" t="e">
        <f t="shared" si="1"/>
        <v>#VALUE!</v>
      </c>
      <c r="M24" s="1069" t="e">
        <f>D24*F24/$N$6*$N$11</f>
        <v>#VALUE!</v>
      </c>
      <c r="N24" s="1070" t="e">
        <f t="shared" si="2"/>
        <v>#VALUE!</v>
      </c>
      <c r="O24" s="1069" t="e">
        <f>D24*F24/$N$6*$P$11</f>
        <v>#VALUE!</v>
      </c>
      <c r="P24" s="1070" t="e">
        <f t="shared" si="3"/>
        <v>#VALUE!</v>
      </c>
      <c r="Q24" s="1069">
        <f>D24*F24</f>
        <v>0</v>
      </c>
      <c r="R24" s="1070" t="e">
        <f t="shared" si="4"/>
        <v>#VALUE!</v>
      </c>
      <c r="S24" s="1064"/>
      <c r="T24" s="1065"/>
      <c r="U24" s="1064"/>
      <c r="V24" s="1065"/>
      <c r="W24" s="8"/>
      <c r="X24" s="460"/>
    </row>
    <row r="25" spans="1:24" x14ac:dyDescent="0.2">
      <c r="A25" s="9"/>
      <c r="B25"/>
      <c r="C25" s="1088"/>
      <c r="D25" s="1089"/>
      <c r="E25" s="1090"/>
      <c r="F25" s="1090"/>
      <c r="G25" s="1080"/>
      <c r="H25" s="1065"/>
      <c r="I25" s="1080"/>
      <c r="J25" s="1065"/>
      <c r="K25" s="1080"/>
      <c r="L25" s="1065"/>
      <c r="M25" s="1080"/>
      <c r="N25" s="1065"/>
      <c r="O25" s="1080"/>
      <c r="P25" s="1065"/>
      <c r="Q25" s="1080"/>
      <c r="R25" s="1065"/>
      <c r="S25" s="1064"/>
      <c r="T25" s="1065"/>
      <c r="U25" s="1064"/>
      <c r="V25" s="1065"/>
      <c r="W25" s="8"/>
    </row>
    <row r="26" spans="1:24" x14ac:dyDescent="0.2">
      <c r="A26" s="9"/>
      <c r="B26" s="1091" t="s">
        <v>31</v>
      </c>
      <c r="C26" s="1055" t="s">
        <v>95</v>
      </c>
      <c r="D26" s="1056">
        <f>SUM(D27:D36)</f>
        <v>0</v>
      </c>
      <c r="E26" s="1058" t="e">
        <f>G26+I26+K26+M26+O26+Q26+S26</f>
        <v>#VALUE!</v>
      </c>
      <c r="F26" s="1058"/>
      <c r="G26" s="1059" t="e">
        <f t="shared" ref="G26:L26" si="5">SUM(G28:G36)</f>
        <v>#VALUE!</v>
      </c>
      <c r="H26" s="1060" t="e">
        <f t="shared" si="5"/>
        <v>#VALUE!</v>
      </c>
      <c r="I26" s="1061" t="e">
        <f t="shared" si="5"/>
        <v>#VALUE!</v>
      </c>
      <c r="J26" s="1060" t="e">
        <f t="shared" si="5"/>
        <v>#VALUE!</v>
      </c>
      <c r="K26" s="1059" t="e">
        <f t="shared" si="5"/>
        <v>#VALUE!</v>
      </c>
      <c r="L26" s="1060" t="e">
        <f t="shared" si="5"/>
        <v>#VALUE!</v>
      </c>
      <c r="M26" s="1059" t="e">
        <f t="shared" ref="M26:P26" si="6">SUM(M28:M36)</f>
        <v>#VALUE!</v>
      </c>
      <c r="N26" s="1060" t="e">
        <f t="shared" si="6"/>
        <v>#VALUE!</v>
      </c>
      <c r="O26" s="1059" t="e">
        <f t="shared" si="6"/>
        <v>#VALUE!</v>
      </c>
      <c r="P26" s="1060" t="e">
        <f t="shared" si="6"/>
        <v>#VALUE!</v>
      </c>
      <c r="Q26" s="1062">
        <f>SUM(Q29:Q36)</f>
        <v>0</v>
      </c>
      <c r="R26" s="1063" t="e">
        <f>SUM(R29:R36)</f>
        <v>#VALUE!</v>
      </c>
      <c r="S26" s="1062">
        <f>SUM(S27:S36)</f>
        <v>0</v>
      </c>
      <c r="T26" s="1063" t="e">
        <f>SUM(T27:T36)</f>
        <v>#VALUE!</v>
      </c>
      <c r="U26" s="1092"/>
      <c r="V26" s="1065"/>
      <c r="W26" s="8"/>
    </row>
    <row r="27" spans="1:24" x14ac:dyDescent="0.2">
      <c r="A27" s="9"/>
      <c r="B27" s="1093" t="s">
        <v>37</v>
      </c>
      <c r="C27" s="1094" t="s">
        <v>38</v>
      </c>
      <c r="D27" s="1068">
        <f>B2_Kalkulation!L37</f>
        <v>0</v>
      </c>
      <c r="E27" s="1086"/>
      <c r="F27" s="1086"/>
      <c r="G27" s="1095"/>
      <c r="H27" s="1077"/>
      <c r="I27" s="1086"/>
      <c r="J27" s="1077"/>
      <c r="K27" s="1086"/>
      <c r="L27" s="1077"/>
      <c r="M27" s="1086"/>
      <c r="N27" s="1077"/>
      <c r="O27" s="1086"/>
      <c r="P27" s="1077"/>
      <c r="Q27" s="1086"/>
      <c r="R27" s="1096"/>
      <c r="S27" s="1069">
        <f>D27</f>
        <v>0</v>
      </c>
      <c r="T27" s="1082" t="e">
        <f>S27/$N$6</f>
        <v>#VALUE!</v>
      </c>
      <c r="U27" s="1080"/>
      <c r="V27" s="1065"/>
      <c r="W27" s="8"/>
    </row>
    <row r="28" spans="1:24" x14ac:dyDescent="0.2">
      <c r="A28" s="9"/>
      <c r="B28" s="1093" t="s">
        <v>39</v>
      </c>
      <c r="C28" s="1094" t="s">
        <v>40</v>
      </c>
      <c r="D28" s="1068">
        <f>B2_Kalkulation!L38</f>
        <v>0</v>
      </c>
      <c r="E28" s="1058" t="e">
        <f>G28+I28+K28+M28+O28+Q28+S28</f>
        <v>#VALUE!</v>
      </c>
      <c r="F28" s="1058">
        <v>1</v>
      </c>
      <c r="G28" s="1069" t="e">
        <f>D28*F28/$N$6*$H$11</f>
        <v>#VALUE!</v>
      </c>
      <c r="H28" s="1070" t="e">
        <f t="shared" ref="H28:H35" si="7">G28/$H$11</f>
        <v>#VALUE!</v>
      </c>
      <c r="I28" s="1086" t="e">
        <f>D28*F28/$N$6*$J$11</f>
        <v>#VALUE!</v>
      </c>
      <c r="J28" s="1070" t="e">
        <f t="shared" ref="J28:J36" si="8">I28/$J$11</f>
        <v>#VALUE!</v>
      </c>
      <c r="K28" s="1069" t="e">
        <f>D28*F28/$N$6*$L$11</f>
        <v>#VALUE!</v>
      </c>
      <c r="L28" s="1070" t="e">
        <f t="shared" ref="L28:L36" si="9">K28/$L$11</f>
        <v>#VALUE!</v>
      </c>
      <c r="M28" s="1069" t="e">
        <f>D28*F28/$N$6*$N$11</f>
        <v>#VALUE!</v>
      </c>
      <c r="N28" s="1070" t="e">
        <f t="shared" ref="N28:N36" si="10">M28/$N$11</f>
        <v>#VALUE!</v>
      </c>
      <c r="O28" s="1069" t="e">
        <f>D28*F28/$N$6*$P$11</f>
        <v>#VALUE!</v>
      </c>
      <c r="P28" s="1070" t="e">
        <f t="shared" ref="P28:P36" si="11">O28/$P$11</f>
        <v>#VALUE!</v>
      </c>
      <c r="Q28" s="1097"/>
      <c r="R28" s="1079"/>
      <c r="S28" s="1098"/>
      <c r="T28" s="1065"/>
      <c r="U28" s="1064"/>
      <c r="V28" s="1065"/>
      <c r="W28" s="8"/>
    </row>
    <row r="29" spans="1:24" x14ac:dyDescent="0.2">
      <c r="A29" s="9"/>
      <c r="B29" s="1093" t="s">
        <v>41</v>
      </c>
      <c r="C29" s="1099" t="s">
        <v>303</v>
      </c>
      <c r="D29" s="1068">
        <f>B2_Kalkulation!L39</f>
        <v>0</v>
      </c>
      <c r="E29" s="1058" t="e">
        <f t="shared" ref="E29:E35" si="12">G29+I29+K29+M29+O29+Q29+S29</f>
        <v>#VALUE!</v>
      </c>
      <c r="F29" s="1058">
        <v>0.5</v>
      </c>
      <c r="G29" s="1069" t="e">
        <f t="shared" ref="G29:G35" si="13">D29*F29/$N$6*$H$11</f>
        <v>#VALUE!</v>
      </c>
      <c r="H29" s="1070" t="e">
        <f t="shared" si="7"/>
        <v>#VALUE!</v>
      </c>
      <c r="I29" s="1086" t="e">
        <f t="shared" ref="I29:I36" si="14">D29*F29/$N$6*$J$11</f>
        <v>#VALUE!</v>
      </c>
      <c r="J29" s="1070" t="e">
        <f t="shared" si="8"/>
        <v>#VALUE!</v>
      </c>
      <c r="K29" s="1069" t="e">
        <f t="shared" ref="K29:K36" si="15">D29*F29/$N$6*$L$11</f>
        <v>#VALUE!</v>
      </c>
      <c r="L29" s="1070" t="e">
        <f t="shared" si="9"/>
        <v>#VALUE!</v>
      </c>
      <c r="M29" s="1069" t="e">
        <f t="shared" ref="M29:M36" si="16">D29*F29/$N$6*$N$11</f>
        <v>#VALUE!</v>
      </c>
      <c r="N29" s="1070" t="e">
        <f t="shared" si="10"/>
        <v>#VALUE!</v>
      </c>
      <c r="O29" s="1069" t="e">
        <f t="shared" ref="O29:O36" si="17">D29*F29/$N$6*$P$11</f>
        <v>#VALUE!</v>
      </c>
      <c r="P29" s="1070" t="e">
        <f t="shared" si="11"/>
        <v>#VALUE!</v>
      </c>
      <c r="Q29" s="1069">
        <f>D29*F29</f>
        <v>0</v>
      </c>
      <c r="R29" s="1070" t="e">
        <f>Q29/$N$6</f>
        <v>#VALUE!</v>
      </c>
      <c r="S29" s="1100"/>
      <c r="T29" s="1065"/>
      <c r="U29" s="1064"/>
      <c r="V29" s="1065"/>
      <c r="W29" s="8"/>
    </row>
    <row r="30" spans="1:24" x14ac:dyDescent="0.2">
      <c r="A30" s="9"/>
      <c r="B30" s="1093" t="s">
        <v>42</v>
      </c>
      <c r="C30" s="1094" t="s">
        <v>43</v>
      </c>
      <c r="D30" s="1068">
        <f>B2_Kalkulation!L40</f>
        <v>0</v>
      </c>
      <c r="E30" s="1058" t="e">
        <f t="shared" si="12"/>
        <v>#VALUE!</v>
      </c>
      <c r="F30" s="1058">
        <v>0.5</v>
      </c>
      <c r="G30" s="1069" t="e">
        <f t="shared" si="13"/>
        <v>#VALUE!</v>
      </c>
      <c r="H30" s="1070" t="e">
        <f t="shared" si="7"/>
        <v>#VALUE!</v>
      </c>
      <c r="I30" s="1086" t="e">
        <f t="shared" si="14"/>
        <v>#VALUE!</v>
      </c>
      <c r="J30" s="1070" t="e">
        <f t="shared" si="8"/>
        <v>#VALUE!</v>
      </c>
      <c r="K30" s="1069" t="e">
        <f t="shared" si="15"/>
        <v>#VALUE!</v>
      </c>
      <c r="L30" s="1070" t="e">
        <f t="shared" si="9"/>
        <v>#VALUE!</v>
      </c>
      <c r="M30" s="1069" t="e">
        <f t="shared" si="16"/>
        <v>#VALUE!</v>
      </c>
      <c r="N30" s="1070" t="e">
        <f t="shared" si="10"/>
        <v>#VALUE!</v>
      </c>
      <c r="O30" s="1069" t="e">
        <f t="shared" si="17"/>
        <v>#VALUE!</v>
      </c>
      <c r="P30" s="1070" t="e">
        <f t="shared" si="11"/>
        <v>#VALUE!</v>
      </c>
      <c r="Q30" s="1069">
        <f>D30*F30</f>
        <v>0</v>
      </c>
      <c r="R30" s="1070" t="e">
        <f t="shared" ref="R30:R36" si="18">Q30/$N$6</f>
        <v>#VALUE!</v>
      </c>
      <c r="S30" s="1100"/>
      <c r="T30" s="1065"/>
      <c r="U30" s="1064"/>
      <c r="V30" s="1065"/>
      <c r="W30" s="8"/>
    </row>
    <row r="31" spans="1:24" x14ac:dyDescent="0.2">
      <c r="A31" s="9"/>
      <c r="B31" s="1093" t="s">
        <v>44</v>
      </c>
      <c r="C31" s="1094" t="s">
        <v>45</v>
      </c>
      <c r="D31" s="1068">
        <f>B2_Kalkulation!L41</f>
        <v>0</v>
      </c>
      <c r="E31" s="1058" t="e">
        <f t="shared" si="12"/>
        <v>#VALUE!</v>
      </c>
      <c r="F31" s="1058">
        <v>0.5</v>
      </c>
      <c r="G31" s="1069" t="e">
        <f t="shared" si="13"/>
        <v>#VALUE!</v>
      </c>
      <c r="H31" s="1070" t="e">
        <f t="shared" si="7"/>
        <v>#VALUE!</v>
      </c>
      <c r="I31" s="1086" t="e">
        <f t="shared" si="14"/>
        <v>#VALUE!</v>
      </c>
      <c r="J31" s="1070" t="e">
        <f t="shared" si="8"/>
        <v>#VALUE!</v>
      </c>
      <c r="K31" s="1069" t="e">
        <f t="shared" si="15"/>
        <v>#VALUE!</v>
      </c>
      <c r="L31" s="1070" t="e">
        <f t="shared" si="9"/>
        <v>#VALUE!</v>
      </c>
      <c r="M31" s="1069" t="e">
        <f t="shared" si="16"/>
        <v>#VALUE!</v>
      </c>
      <c r="N31" s="1070" t="e">
        <f t="shared" si="10"/>
        <v>#VALUE!</v>
      </c>
      <c r="O31" s="1069" t="e">
        <f t="shared" si="17"/>
        <v>#VALUE!</v>
      </c>
      <c r="P31" s="1070" t="e">
        <f t="shared" si="11"/>
        <v>#VALUE!</v>
      </c>
      <c r="Q31" s="1069">
        <f>D31*F31</f>
        <v>0</v>
      </c>
      <c r="R31" s="1070" t="e">
        <f t="shared" si="18"/>
        <v>#VALUE!</v>
      </c>
      <c r="S31" s="1100"/>
      <c r="T31" s="1065"/>
      <c r="U31" s="1064"/>
      <c r="V31" s="1065"/>
      <c r="W31" s="8"/>
    </row>
    <row r="32" spans="1:24" x14ac:dyDescent="0.2">
      <c r="A32" s="9"/>
      <c r="B32" s="1093" t="s">
        <v>46</v>
      </c>
      <c r="C32" s="1094" t="s">
        <v>47</v>
      </c>
      <c r="D32" s="1068">
        <f>B2_Kalkulation!L42</f>
        <v>0</v>
      </c>
      <c r="E32" s="1058" t="e">
        <f t="shared" si="12"/>
        <v>#VALUE!</v>
      </c>
      <c r="F32" s="1058">
        <v>1</v>
      </c>
      <c r="G32" s="1069" t="e">
        <f t="shared" si="13"/>
        <v>#VALUE!</v>
      </c>
      <c r="H32" s="1070" t="e">
        <f t="shared" si="7"/>
        <v>#VALUE!</v>
      </c>
      <c r="I32" s="1086" t="e">
        <f t="shared" si="14"/>
        <v>#VALUE!</v>
      </c>
      <c r="J32" s="1070" t="e">
        <f t="shared" si="8"/>
        <v>#VALUE!</v>
      </c>
      <c r="K32" s="1069" t="e">
        <f t="shared" si="15"/>
        <v>#VALUE!</v>
      </c>
      <c r="L32" s="1070" t="e">
        <f t="shared" si="9"/>
        <v>#VALUE!</v>
      </c>
      <c r="M32" s="1069" t="e">
        <f t="shared" si="16"/>
        <v>#VALUE!</v>
      </c>
      <c r="N32" s="1070" t="e">
        <f t="shared" si="10"/>
        <v>#VALUE!</v>
      </c>
      <c r="O32" s="1069" t="e">
        <f t="shared" si="17"/>
        <v>#VALUE!</v>
      </c>
      <c r="P32" s="1070" t="e">
        <f>O32/$P$11</f>
        <v>#VALUE!</v>
      </c>
      <c r="Q32" s="1097"/>
      <c r="R32" s="1079"/>
      <c r="S32" s="1064"/>
      <c r="T32" s="1065"/>
      <c r="U32" s="1064"/>
      <c r="V32" s="1065"/>
      <c r="W32" s="8"/>
    </row>
    <row r="33" spans="1:25" x14ac:dyDescent="0.2">
      <c r="A33" s="9"/>
      <c r="B33" s="1101" t="s">
        <v>48</v>
      </c>
      <c r="C33" s="1094" t="s">
        <v>49</v>
      </c>
      <c r="D33" s="1068">
        <f>B2_Kalkulation!L43</f>
        <v>0</v>
      </c>
      <c r="E33" s="1058" t="e">
        <f t="shared" si="12"/>
        <v>#VALUE!</v>
      </c>
      <c r="F33" s="1058">
        <v>0.5</v>
      </c>
      <c r="G33" s="1069" t="e">
        <f t="shared" si="13"/>
        <v>#VALUE!</v>
      </c>
      <c r="H33" s="1070" t="e">
        <f t="shared" si="7"/>
        <v>#VALUE!</v>
      </c>
      <c r="I33" s="1086" t="e">
        <f t="shared" si="14"/>
        <v>#VALUE!</v>
      </c>
      <c r="J33" s="1070" t="e">
        <f t="shared" si="8"/>
        <v>#VALUE!</v>
      </c>
      <c r="K33" s="1069" t="e">
        <f t="shared" si="15"/>
        <v>#VALUE!</v>
      </c>
      <c r="L33" s="1070" t="e">
        <f t="shared" si="9"/>
        <v>#VALUE!</v>
      </c>
      <c r="M33" s="1069" t="e">
        <f t="shared" si="16"/>
        <v>#VALUE!</v>
      </c>
      <c r="N33" s="1070" t="e">
        <f t="shared" si="10"/>
        <v>#VALUE!</v>
      </c>
      <c r="O33" s="1069" t="e">
        <f t="shared" si="17"/>
        <v>#VALUE!</v>
      </c>
      <c r="P33" s="1070" t="e">
        <f t="shared" si="11"/>
        <v>#VALUE!</v>
      </c>
      <c r="Q33" s="1069">
        <f>D33*F33</f>
        <v>0</v>
      </c>
      <c r="R33" s="1070" t="e">
        <f t="shared" si="18"/>
        <v>#VALUE!</v>
      </c>
      <c r="S33" s="1100"/>
      <c r="T33" s="1065"/>
      <c r="U33" s="1064"/>
      <c r="V33" s="1065"/>
      <c r="W33" s="8"/>
    </row>
    <row r="34" spans="1:25" x14ac:dyDescent="0.2">
      <c r="A34" s="9"/>
      <c r="B34" s="1101" t="s">
        <v>50</v>
      </c>
      <c r="C34" s="1094" t="s">
        <v>304</v>
      </c>
      <c r="D34" s="1068">
        <f>B2_Kalkulation!L44</f>
        <v>0</v>
      </c>
      <c r="E34" s="1058" t="e">
        <f t="shared" si="12"/>
        <v>#VALUE!</v>
      </c>
      <c r="F34" s="1058">
        <v>0.5</v>
      </c>
      <c r="G34" s="1069" t="e">
        <f t="shared" si="13"/>
        <v>#VALUE!</v>
      </c>
      <c r="H34" s="1070" t="e">
        <f t="shared" si="7"/>
        <v>#VALUE!</v>
      </c>
      <c r="I34" s="1086" t="e">
        <f t="shared" si="14"/>
        <v>#VALUE!</v>
      </c>
      <c r="J34" s="1070" t="e">
        <f t="shared" si="8"/>
        <v>#VALUE!</v>
      </c>
      <c r="K34" s="1069" t="e">
        <f t="shared" si="15"/>
        <v>#VALUE!</v>
      </c>
      <c r="L34" s="1070" t="e">
        <f t="shared" si="9"/>
        <v>#VALUE!</v>
      </c>
      <c r="M34" s="1069" t="e">
        <f t="shared" si="16"/>
        <v>#VALUE!</v>
      </c>
      <c r="N34" s="1070" t="e">
        <f t="shared" si="10"/>
        <v>#VALUE!</v>
      </c>
      <c r="O34" s="1069" t="e">
        <f t="shared" si="17"/>
        <v>#VALUE!</v>
      </c>
      <c r="P34" s="1070" t="e">
        <f t="shared" si="11"/>
        <v>#VALUE!</v>
      </c>
      <c r="Q34" s="1069">
        <f>D34*F34</f>
        <v>0</v>
      </c>
      <c r="R34" s="1070" t="e">
        <f t="shared" si="18"/>
        <v>#VALUE!</v>
      </c>
      <c r="S34" s="1100"/>
      <c r="T34" s="1065"/>
      <c r="U34" s="1064"/>
      <c r="V34" s="1065"/>
      <c r="W34" s="8"/>
    </row>
    <row r="35" spans="1:25" x14ac:dyDescent="0.2">
      <c r="A35" s="9"/>
      <c r="B35" s="1101" t="s">
        <v>52</v>
      </c>
      <c r="C35" s="1102" t="s">
        <v>305</v>
      </c>
      <c r="D35" s="1068">
        <f>B2_Kalkulation!L45</f>
        <v>0</v>
      </c>
      <c r="E35" s="1058" t="e">
        <f t="shared" si="12"/>
        <v>#VALUE!</v>
      </c>
      <c r="F35" s="1058">
        <v>0.5</v>
      </c>
      <c r="G35" s="1069" t="e">
        <f t="shared" si="13"/>
        <v>#VALUE!</v>
      </c>
      <c r="H35" s="1070" t="e">
        <f t="shared" si="7"/>
        <v>#VALUE!</v>
      </c>
      <c r="I35" s="1086" t="e">
        <f t="shared" si="14"/>
        <v>#VALUE!</v>
      </c>
      <c r="J35" s="1070" t="e">
        <f t="shared" si="8"/>
        <v>#VALUE!</v>
      </c>
      <c r="K35" s="1069" t="e">
        <f t="shared" si="15"/>
        <v>#VALUE!</v>
      </c>
      <c r="L35" s="1070" t="e">
        <f t="shared" si="9"/>
        <v>#VALUE!</v>
      </c>
      <c r="M35" s="1069" t="e">
        <f t="shared" si="16"/>
        <v>#VALUE!</v>
      </c>
      <c r="N35" s="1070" t="e">
        <f t="shared" si="10"/>
        <v>#VALUE!</v>
      </c>
      <c r="O35" s="1069" t="e">
        <f t="shared" si="17"/>
        <v>#VALUE!</v>
      </c>
      <c r="P35" s="1070" t="e">
        <f t="shared" si="11"/>
        <v>#VALUE!</v>
      </c>
      <c r="Q35" s="1069">
        <f>D35*F35</f>
        <v>0</v>
      </c>
      <c r="R35" s="1070" t="e">
        <f t="shared" si="18"/>
        <v>#VALUE!</v>
      </c>
      <c r="S35" s="1100"/>
      <c r="T35" s="1065"/>
      <c r="U35" s="1064"/>
      <c r="V35" s="1065"/>
      <c r="W35" s="8"/>
    </row>
    <row r="36" spans="1:25" x14ac:dyDescent="0.2">
      <c r="A36" s="9"/>
      <c r="B36" s="1101" t="s">
        <v>54</v>
      </c>
      <c r="C36" s="1103" t="s">
        <v>55</v>
      </c>
      <c r="D36" s="1068">
        <f>B2_Kalkulation!L46</f>
        <v>0</v>
      </c>
      <c r="E36" s="1057" t="e">
        <f>G36+I36+K36+M36+O36+Q36+S36</f>
        <v>#VALUE!</v>
      </c>
      <c r="F36" s="1058">
        <v>0.5</v>
      </c>
      <c r="G36" s="1069" t="e">
        <f>D36*F36/$N$6*$H$11</f>
        <v>#VALUE!</v>
      </c>
      <c r="H36" s="1070" t="e">
        <f>G36/$H$11</f>
        <v>#VALUE!</v>
      </c>
      <c r="I36" s="1086" t="e">
        <f t="shared" si="14"/>
        <v>#VALUE!</v>
      </c>
      <c r="J36" s="1070" t="e">
        <f t="shared" si="8"/>
        <v>#VALUE!</v>
      </c>
      <c r="K36" s="1069" t="e">
        <f t="shared" si="15"/>
        <v>#VALUE!</v>
      </c>
      <c r="L36" s="1070" t="e">
        <f t="shared" si="9"/>
        <v>#VALUE!</v>
      </c>
      <c r="M36" s="1069" t="e">
        <f t="shared" si="16"/>
        <v>#VALUE!</v>
      </c>
      <c r="N36" s="1070" t="e">
        <f t="shared" si="10"/>
        <v>#VALUE!</v>
      </c>
      <c r="O36" s="1069" t="e">
        <f t="shared" si="17"/>
        <v>#VALUE!</v>
      </c>
      <c r="P36" s="1070" t="e">
        <f t="shared" si="11"/>
        <v>#VALUE!</v>
      </c>
      <c r="Q36" s="1069">
        <f>D36*F36</f>
        <v>0</v>
      </c>
      <c r="R36" s="1070" t="e">
        <f t="shared" si="18"/>
        <v>#VALUE!</v>
      </c>
      <c r="S36" s="1100"/>
      <c r="T36" s="1065"/>
      <c r="U36" s="1064"/>
      <c r="V36" s="1065"/>
      <c r="W36" s="8"/>
    </row>
    <row r="37" spans="1:25" x14ac:dyDescent="0.2">
      <c r="A37" s="9"/>
      <c r="B37"/>
      <c r="C37"/>
      <c r="D37" s="1089"/>
      <c r="E37" s="1090"/>
      <c r="F37" s="1090"/>
      <c r="G37" s="1080"/>
      <c r="H37" s="1065"/>
      <c r="I37" s="1080"/>
      <c r="J37" s="1065"/>
      <c r="K37" s="1080"/>
      <c r="L37" s="1104"/>
      <c r="M37" s="1080"/>
      <c r="N37" s="1104"/>
      <c r="O37" s="1080"/>
      <c r="P37" s="1104"/>
      <c r="Q37" s="1080"/>
      <c r="R37" s="1065"/>
      <c r="S37" s="1064"/>
      <c r="T37" s="1065"/>
      <c r="U37" s="1064"/>
      <c r="V37" s="1065"/>
      <c r="W37" s="8"/>
    </row>
    <row r="38" spans="1:25" x14ac:dyDescent="0.2">
      <c r="A38" s="9"/>
      <c r="B38" s="1105" t="s">
        <v>96</v>
      </c>
      <c r="C38" s="1106" t="s">
        <v>97</v>
      </c>
      <c r="D38" s="1056">
        <f t="shared" ref="D38:Q38" si="19">SUM(D39:D45)</f>
        <v>0</v>
      </c>
      <c r="E38" s="1058" t="e">
        <f>SUM(E39:E45)</f>
        <v>#VALUE!</v>
      </c>
      <c r="F38" s="1058"/>
      <c r="G38" s="1059" t="e">
        <f t="shared" si="19"/>
        <v>#VALUE!</v>
      </c>
      <c r="H38" s="1060" t="e">
        <f t="shared" si="19"/>
        <v>#VALUE!</v>
      </c>
      <c r="I38" s="1061" t="e">
        <f t="shared" si="19"/>
        <v>#VALUE!</v>
      </c>
      <c r="J38" s="1060" t="e">
        <f t="shared" si="19"/>
        <v>#VALUE!</v>
      </c>
      <c r="K38" s="1059" t="e">
        <f t="shared" si="19"/>
        <v>#VALUE!</v>
      </c>
      <c r="L38" s="1060" t="e">
        <f t="shared" si="19"/>
        <v>#VALUE!</v>
      </c>
      <c r="M38" s="1059" t="e">
        <f t="shared" ref="M38:P38" si="20">SUM(M39:M45)</f>
        <v>#VALUE!</v>
      </c>
      <c r="N38" s="1060" t="e">
        <f t="shared" si="20"/>
        <v>#VALUE!</v>
      </c>
      <c r="O38" s="1059" t="e">
        <f t="shared" si="20"/>
        <v>#VALUE!</v>
      </c>
      <c r="P38" s="1060" t="e">
        <f t="shared" si="20"/>
        <v>#VALUE!</v>
      </c>
      <c r="Q38" s="1062">
        <f t="shared" si="19"/>
        <v>0</v>
      </c>
      <c r="R38" s="1063" t="e">
        <f>SUM(R39:R45)</f>
        <v>#VALUE!</v>
      </c>
      <c r="S38" s="1064"/>
      <c r="T38" s="1065"/>
      <c r="U38" s="1064"/>
      <c r="V38" s="1065"/>
      <c r="W38" s="8"/>
    </row>
    <row r="39" spans="1:25" x14ac:dyDescent="0.2">
      <c r="A39" s="9"/>
      <c r="B39" s="1107" t="str">
        <f>B2_Kalkulation!H50</f>
        <v>3.1.</v>
      </c>
      <c r="C39" s="1108" t="s">
        <v>306</v>
      </c>
      <c r="D39" s="1068">
        <f>B2_Kalkulation!L50</f>
        <v>0</v>
      </c>
      <c r="E39" s="1058" t="e">
        <f t="shared" ref="E39:E45" si="21">G39+I39+K39+M39+O39+Q39</f>
        <v>#VALUE!</v>
      </c>
      <c r="F39" s="1058">
        <v>0.5</v>
      </c>
      <c r="G39" s="1069" t="e">
        <f>D39*F39/$N$6*$H$11</f>
        <v>#VALUE!</v>
      </c>
      <c r="H39" s="1070" t="e">
        <f t="shared" ref="H39:H45" si="22">G39/$H$11</f>
        <v>#VALUE!</v>
      </c>
      <c r="I39" s="1086" t="e">
        <f>D39*F39/$N$6*$J$11</f>
        <v>#VALUE!</v>
      </c>
      <c r="J39" s="1070" t="e">
        <f t="shared" ref="J39:J45" si="23">I39/$J$11</f>
        <v>#VALUE!</v>
      </c>
      <c r="K39" s="1069" t="e">
        <f>D39*F39/$N$6*$L$11</f>
        <v>#VALUE!</v>
      </c>
      <c r="L39" s="1070" t="e">
        <f t="shared" ref="L39:L45" si="24">K39/$L$11</f>
        <v>#VALUE!</v>
      </c>
      <c r="M39" s="1069" t="e">
        <f>D39*F39/$N$6*$N$11</f>
        <v>#VALUE!</v>
      </c>
      <c r="N39" s="1070" t="e">
        <f t="shared" ref="N39:N45" si="25">M39/$N$11</f>
        <v>#VALUE!</v>
      </c>
      <c r="O39" s="1069" t="e">
        <f>D39*F39/$N$6*$P$11</f>
        <v>#VALUE!</v>
      </c>
      <c r="P39" s="1070" t="e">
        <f t="shared" ref="P39:P45" si="26">O39/$P$11</f>
        <v>#VALUE!</v>
      </c>
      <c r="Q39" s="1069">
        <f>D39*F39</f>
        <v>0</v>
      </c>
      <c r="R39" s="1070" t="e">
        <f>Q39/$N$6</f>
        <v>#VALUE!</v>
      </c>
      <c r="S39" s="1109"/>
      <c r="T39" s="1110"/>
      <c r="U39" s="1111"/>
      <c r="V39" s="1110"/>
      <c r="W39" s="8"/>
      <c r="X39" s="454"/>
      <c r="Y39" s="454"/>
    </row>
    <row r="40" spans="1:25" x14ac:dyDescent="0.2">
      <c r="A40" s="9"/>
      <c r="B40" s="1107" t="str">
        <f>B2_Kalkulation!H51</f>
        <v>3.2.</v>
      </c>
      <c r="C40" s="1112" t="str">
        <f>B2_Kalkulation!I51</f>
        <v>Wäscherei</v>
      </c>
      <c r="D40" s="1068">
        <f>B2_Kalkulation!L51</f>
        <v>0</v>
      </c>
      <c r="E40" s="1058" t="e">
        <f t="shared" si="21"/>
        <v>#VALUE!</v>
      </c>
      <c r="F40" s="1058">
        <v>0.5</v>
      </c>
      <c r="G40" s="1069" t="e">
        <f t="shared" ref="G40:G45" si="27">D40*F40/$N$6*$H$11</f>
        <v>#VALUE!</v>
      </c>
      <c r="H40" s="1070" t="e">
        <f t="shared" si="22"/>
        <v>#VALUE!</v>
      </c>
      <c r="I40" s="1086" t="e">
        <f t="shared" ref="I40:I45" si="28">D40*F40/$N$6*$J$11</f>
        <v>#VALUE!</v>
      </c>
      <c r="J40" s="1070" t="e">
        <f t="shared" si="23"/>
        <v>#VALUE!</v>
      </c>
      <c r="K40" s="1069" t="e">
        <f t="shared" ref="K40:K45" si="29">D40*F40/$N$6*$L$11</f>
        <v>#VALUE!</v>
      </c>
      <c r="L40" s="1070" t="e">
        <f t="shared" si="24"/>
        <v>#VALUE!</v>
      </c>
      <c r="M40" s="1069" t="e">
        <f t="shared" ref="M40:M45" si="30">D40*F40/$N$6*$N$11</f>
        <v>#VALUE!</v>
      </c>
      <c r="N40" s="1070" t="e">
        <f t="shared" si="25"/>
        <v>#VALUE!</v>
      </c>
      <c r="O40" s="1069" t="e">
        <f t="shared" ref="O40:O45" si="31">D40*F40/$N$6*$P$11</f>
        <v>#VALUE!</v>
      </c>
      <c r="P40" s="1070" t="e">
        <f t="shared" si="26"/>
        <v>#VALUE!</v>
      </c>
      <c r="Q40" s="1069">
        <f t="shared" ref="Q40:Q45" si="32">D40*F40</f>
        <v>0</v>
      </c>
      <c r="R40" s="1070" t="e">
        <f t="shared" ref="R40:R45" si="33">Q40/$N$6</f>
        <v>#VALUE!</v>
      </c>
      <c r="S40" s="1113"/>
      <c r="T40" s="1110"/>
      <c r="U40" s="1111"/>
      <c r="V40" s="1110"/>
      <c r="W40" s="1114"/>
      <c r="X40" s="454"/>
      <c r="Y40" s="454"/>
    </row>
    <row r="41" spans="1:25" x14ac:dyDescent="0.2">
      <c r="A41" s="9"/>
      <c r="B41" s="1107" t="str">
        <f>B2_Kalkulation!H52</f>
        <v>3.3.</v>
      </c>
      <c r="C41" s="1112" t="str">
        <f>B2_Kalkulation!I52</f>
        <v>Wäschekennzeichnung</v>
      </c>
      <c r="D41" s="1068">
        <f>B2_Kalkulation!L52</f>
        <v>0</v>
      </c>
      <c r="E41" s="1057" t="e">
        <f>G41+I41+K41+M41+O41+Q41</f>
        <v>#VALUE!</v>
      </c>
      <c r="F41" s="1058">
        <v>0.5</v>
      </c>
      <c r="G41" s="1069" t="e">
        <f t="shared" si="27"/>
        <v>#VALUE!</v>
      </c>
      <c r="H41" s="1070" t="e">
        <f t="shared" si="22"/>
        <v>#VALUE!</v>
      </c>
      <c r="I41" s="1086" t="e">
        <f t="shared" si="28"/>
        <v>#VALUE!</v>
      </c>
      <c r="J41" s="1070" t="e">
        <f t="shared" si="23"/>
        <v>#VALUE!</v>
      </c>
      <c r="K41" s="1069" t="e">
        <f t="shared" si="29"/>
        <v>#VALUE!</v>
      </c>
      <c r="L41" s="1070" t="e">
        <f t="shared" si="24"/>
        <v>#VALUE!</v>
      </c>
      <c r="M41" s="1069" t="e">
        <f t="shared" si="30"/>
        <v>#VALUE!</v>
      </c>
      <c r="N41" s="1070" t="e">
        <f t="shared" si="25"/>
        <v>#VALUE!</v>
      </c>
      <c r="O41" s="1069" t="e">
        <f t="shared" si="31"/>
        <v>#VALUE!</v>
      </c>
      <c r="P41" s="1070" t="e">
        <f t="shared" si="26"/>
        <v>#VALUE!</v>
      </c>
      <c r="Q41" s="1069">
        <f t="shared" si="32"/>
        <v>0</v>
      </c>
      <c r="R41" s="1070" t="e">
        <f t="shared" si="33"/>
        <v>#VALUE!</v>
      </c>
      <c r="S41" s="1113"/>
      <c r="T41" s="1110"/>
      <c r="U41" s="1111"/>
      <c r="V41" s="1110"/>
      <c r="W41" s="8"/>
    </row>
    <row r="42" spans="1:25" x14ac:dyDescent="0.2">
      <c r="A42" s="9"/>
      <c r="B42" s="1107" t="str">
        <f>B2_Kalkulation!H53</f>
        <v>3.4.</v>
      </c>
      <c r="C42" s="1112" t="str">
        <f>B2_Kalkulation!I53</f>
        <v>Reinigung</v>
      </c>
      <c r="D42" s="1068">
        <f>B2_Kalkulation!L53</f>
        <v>0</v>
      </c>
      <c r="E42" s="1058" t="e">
        <f t="shared" si="21"/>
        <v>#VALUE!</v>
      </c>
      <c r="F42" s="1058">
        <v>0.5</v>
      </c>
      <c r="G42" s="1069" t="e">
        <f t="shared" si="27"/>
        <v>#VALUE!</v>
      </c>
      <c r="H42" s="1070" t="e">
        <f t="shared" si="22"/>
        <v>#VALUE!</v>
      </c>
      <c r="I42" s="1086" t="e">
        <f t="shared" si="28"/>
        <v>#VALUE!</v>
      </c>
      <c r="J42" s="1070" t="e">
        <f t="shared" si="23"/>
        <v>#VALUE!</v>
      </c>
      <c r="K42" s="1069" t="e">
        <f t="shared" si="29"/>
        <v>#VALUE!</v>
      </c>
      <c r="L42" s="1070" t="e">
        <f t="shared" si="24"/>
        <v>#VALUE!</v>
      </c>
      <c r="M42" s="1069" t="e">
        <f t="shared" si="30"/>
        <v>#VALUE!</v>
      </c>
      <c r="N42" s="1070" t="e">
        <f t="shared" si="25"/>
        <v>#VALUE!</v>
      </c>
      <c r="O42" s="1069" t="e">
        <f t="shared" si="31"/>
        <v>#VALUE!</v>
      </c>
      <c r="P42" s="1070" t="e">
        <f t="shared" si="26"/>
        <v>#VALUE!</v>
      </c>
      <c r="Q42" s="1069">
        <f t="shared" si="32"/>
        <v>0</v>
      </c>
      <c r="R42" s="1070" t="e">
        <f t="shared" si="33"/>
        <v>#VALUE!</v>
      </c>
      <c r="S42" s="1115"/>
      <c r="T42" s="1116"/>
      <c r="U42" s="1117"/>
      <c r="V42" s="1116"/>
      <c r="W42" s="8"/>
      <c r="X42" s="456"/>
    </row>
    <row r="43" spans="1:25" x14ac:dyDescent="0.2">
      <c r="A43" s="9"/>
      <c r="B43" s="1107" t="str">
        <f>B2_Kalkulation!H54</f>
        <v>3.5.</v>
      </c>
      <c r="C43" s="1112" t="str">
        <f>B2_Kalkulation!I54</f>
        <v>Verwaltung</v>
      </c>
      <c r="D43" s="1068">
        <f>B2_Kalkulation!L54</f>
        <v>0</v>
      </c>
      <c r="E43" s="1058" t="e">
        <f t="shared" si="21"/>
        <v>#VALUE!</v>
      </c>
      <c r="F43" s="1058">
        <v>0.5</v>
      </c>
      <c r="G43" s="1069" t="e">
        <f t="shared" si="27"/>
        <v>#VALUE!</v>
      </c>
      <c r="H43" s="1070" t="e">
        <f t="shared" si="22"/>
        <v>#VALUE!</v>
      </c>
      <c r="I43" s="1086" t="e">
        <f t="shared" si="28"/>
        <v>#VALUE!</v>
      </c>
      <c r="J43" s="1070" t="e">
        <f t="shared" si="23"/>
        <v>#VALUE!</v>
      </c>
      <c r="K43" s="1069" t="e">
        <f t="shared" si="29"/>
        <v>#VALUE!</v>
      </c>
      <c r="L43" s="1070" t="e">
        <f t="shared" si="24"/>
        <v>#VALUE!</v>
      </c>
      <c r="M43" s="1069" t="e">
        <f t="shared" si="30"/>
        <v>#VALUE!</v>
      </c>
      <c r="N43" s="1070" t="e">
        <f t="shared" si="25"/>
        <v>#VALUE!</v>
      </c>
      <c r="O43" s="1069" t="e">
        <f t="shared" si="31"/>
        <v>#VALUE!</v>
      </c>
      <c r="P43" s="1070" t="e">
        <f t="shared" si="26"/>
        <v>#VALUE!</v>
      </c>
      <c r="Q43" s="1069">
        <f t="shared" si="32"/>
        <v>0</v>
      </c>
      <c r="R43" s="1070" t="e">
        <f t="shared" si="33"/>
        <v>#VALUE!</v>
      </c>
      <c r="S43" s="1064"/>
      <c r="T43" s="1065"/>
      <c r="U43" s="1064"/>
      <c r="V43" s="1065"/>
      <c r="W43" s="8"/>
    </row>
    <row r="44" spans="1:25" x14ac:dyDescent="0.2">
      <c r="A44" s="9"/>
      <c r="B44" s="1107" t="str">
        <f>B2_Kalkulation!H55</f>
        <v>3.6.</v>
      </c>
      <c r="C44" s="1112" t="str">
        <f>B2_Kalkulation!I55</f>
        <v>Haustechnik</v>
      </c>
      <c r="D44" s="1068">
        <f>B2_Kalkulation!L55</f>
        <v>0</v>
      </c>
      <c r="E44" s="1058" t="e">
        <f t="shared" si="21"/>
        <v>#VALUE!</v>
      </c>
      <c r="F44" s="1058">
        <v>0.5</v>
      </c>
      <c r="G44" s="1069" t="e">
        <f t="shared" si="27"/>
        <v>#VALUE!</v>
      </c>
      <c r="H44" s="1070" t="e">
        <f t="shared" si="22"/>
        <v>#VALUE!</v>
      </c>
      <c r="I44" s="1086" t="e">
        <f t="shared" si="28"/>
        <v>#VALUE!</v>
      </c>
      <c r="J44" s="1070" t="e">
        <f t="shared" si="23"/>
        <v>#VALUE!</v>
      </c>
      <c r="K44" s="1069" t="e">
        <f t="shared" si="29"/>
        <v>#VALUE!</v>
      </c>
      <c r="L44" s="1070" t="e">
        <f t="shared" si="24"/>
        <v>#VALUE!</v>
      </c>
      <c r="M44" s="1069" t="e">
        <f t="shared" si="30"/>
        <v>#VALUE!</v>
      </c>
      <c r="N44" s="1070" t="e">
        <f t="shared" si="25"/>
        <v>#VALUE!</v>
      </c>
      <c r="O44" s="1069" t="e">
        <f t="shared" si="31"/>
        <v>#VALUE!</v>
      </c>
      <c r="P44" s="1070" t="e">
        <f t="shared" si="26"/>
        <v>#VALUE!</v>
      </c>
      <c r="Q44" s="1069">
        <f t="shared" si="32"/>
        <v>0</v>
      </c>
      <c r="R44" s="1070" t="e">
        <f t="shared" si="33"/>
        <v>#VALUE!</v>
      </c>
      <c r="S44" s="1064"/>
      <c r="T44" s="1065"/>
      <c r="U44" s="1064"/>
      <c r="V44" s="1065"/>
      <c r="W44" s="8"/>
      <c r="X44" s="450"/>
    </row>
    <row r="45" spans="1:25" x14ac:dyDescent="0.2">
      <c r="A45" s="9"/>
      <c r="B45" s="1107" t="str">
        <f>B2_Kalkulation!H56</f>
        <v>3.7.</v>
      </c>
      <c r="C45" s="1112" t="str">
        <f>B2_Kalkulation!I56</f>
        <v>sonstiges</v>
      </c>
      <c r="D45" s="1068">
        <f>B2_Kalkulation!L56</f>
        <v>0</v>
      </c>
      <c r="E45" s="1058" t="e">
        <f t="shared" si="21"/>
        <v>#VALUE!</v>
      </c>
      <c r="F45" s="1058">
        <v>0.5</v>
      </c>
      <c r="G45" s="1069" t="e">
        <f t="shared" si="27"/>
        <v>#VALUE!</v>
      </c>
      <c r="H45" s="1070" t="e">
        <f t="shared" si="22"/>
        <v>#VALUE!</v>
      </c>
      <c r="I45" s="1086" t="e">
        <f t="shared" si="28"/>
        <v>#VALUE!</v>
      </c>
      <c r="J45" s="1070" t="e">
        <f t="shared" si="23"/>
        <v>#VALUE!</v>
      </c>
      <c r="K45" s="1069" t="e">
        <f t="shared" si="29"/>
        <v>#VALUE!</v>
      </c>
      <c r="L45" s="1070" t="e">
        <f t="shared" si="24"/>
        <v>#VALUE!</v>
      </c>
      <c r="M45" s="1069" t="e">
        <f t="shared" si="30"/>
        <v>#VALUE!</v>
      </c>
      <c r="N45" s="1070" t="e">
        <f t="shared" si="25"/>
        <v>#VALUE!</v>
      </c>
      <c r="O45" s="1069" t="e">
        <f t="shared" si="31"/>
        <v>#VALUE!</v>
      </c>
      <c r="P45" s="1070" t="e">
        <f t="shared" si="26"/>
        <v>#VALUE!</v>
      </c>
      <c r="Q45" s="1069">
        <f t="shared" si="32"/>
        <v>0</v>
      </c>
      <c r="R45" s="1070" t="e">
        <f t="shared" si="33"/>
        <v>#VALUE!</v>
      </c>
      <c r="S45" s="1064"/>
      <c r="T45" s="1065"/>
      <c r="U45" s="1064"/>
      <c r="V45" s="1065"/>
      <c r="W45" s="8"/>
      <c r="X45" s="461"/>
    </row>
    <row r="46" spans="1:25" x14ac:dyDescent="0.2">
      <c r="A46" s="9"/>
      <c r="B46"/>
      <c r="C46"/>
      <c r="D46" s="1118"/>
      <c r="E46" s="1064"/>
      <c r="F46" s="1064"/>
      <c r="G46" s="1119"/>
      <c r="H46" s="1120"/>
      <c r="I46" s="1121"/>
      <c r="J46" s="1120"/>
      <c r="K46" s="1122"/>
      <c r="L46" s="1123"/>
      <c r="M46" s="1119"/>
      <c r="N46" s="1123"/>
      <c r="O46" s="1119"/>
      <c r="P46" s="1123"/>
      <c r="Q46" s="1080"/>
      <c r="R46" s="1065"/>
      <c r="S46" s="1064"/>
      <c r="T46" s="1065"/>
      <c r="U46" s="1064"/>
      <c r="V46" s="1065"/>
      <c r="W46" s="8"/>
      <c r="X46" s="461"/>
    </row>
    <row r="47" spans="1:25" x14ac:dyDescent="0.2">
      <c r="A47" s="9"/>
      <c r="B47" s="1124"/>
      <c r="C47" s="1053" t="str">
        <f>IF('B2_Allgemeine Angaben'!D7&lt;&gt;"vst","errechnete Aufwendungen:","errechnete Aufwendungen nach Pflegegrad 2 bis 5:")</f>
        <v>errechnete Aufwendungen:</v>
      </c>
      <c r="D47" s="1068">
        <f>I47+K47+M47+O47</f>
        <v>0</v>
      </c>
      <c r="E47" s="1058" t="e">
        <f>D38+D26+D16-Q16-Q26-Q38-S26-G47</f>
        <v>#VALUE!</v>
      </c>
      <c r="F47" s="1058"/>
      <c r="G47" s="1125" t="e">
        <f>H47*H11</f>
        <v>#VALUE!</v>
      </c>
      <c r="H47" s="1126">
        <f>IF(B2_Kalkulation!H14=0,ROUND('B2_Gesamtkalkulation '!J51*0.78,2),ROUND(('B2_Gesamtkalkulation '!H16+'B2_Gesamtkalkulation '!H26+'B2_Gesamtkalkulation '!H38),2))</f>
        <v>0</v>
      </c>
      <c r="I47" s="1127">
        <f>IFERROR(J47*J11,0)</f>
        <v>0</v>
      </c>
      <c r="J47" s="1128" t="str">
        <f>IF(ISERROR(J38+J26+J16),"",(J38+J26+J16))</f>
        <v/>
      </c>
      <c r="K47" s="1127">
        <f>IFERROR(L47*L11,0)</f>
        <v>0</v>
      </c>
      <c r="L47" s="1128" t="str">
        <f>IF(ISERROR(L38+L26+L16),"",((L38+L26+L16)))</f>
        <v/>
      </c>
      <c r="M47" s="1127">
        <f>IFERROR(N47*N11,0)</f>
        <v>0</v>
      </c>
      <c r="N47" s="1128" t="str">
        <f>IF(ISERROR(N38+N26+N16),"",(N38+N26+N16))</f>
        <v/>
      </c>
      <c r="O47" s="1127">
        <f>IFERROR(P47*P11,0)</f>
        <v>0</v>
      </c>
      <c r="P47" s="1128" t="str">
        <f>IF(ISERROR(P38+P26+P16),"",(P38+P26+P16))</f>
        <v/>
      </c>
      <c r="Q47" s="1129"/>
      <c r="R47" s="1065"/>
      <c r="S47" s="1130"/>
      <c r="T47" s="1065"/>
      <c r="U47" s="1064"/>
      <c r="V47" s="1065"/>
      <c r="W47" s="8"/>
      <c r="X47" s="460"/>
    </row>
    <row r="48" spans="1:25" x14ac:dyDescent="0.2">
      <c r="A48" s="9"/>
      <c r="B48" s="1124"/>
      <c r="C48" s="1053" t="s">
        <v>98</v>
      </c>
      <c r="D48" s="1068" t="str">
        <f>IF('B2_Allgemeine Angaben'!D7="vst",(((J12*J10)+(L12*L10)+(N12*N10)+(P12*P10))*12)*$L$6/100,"")</f>
        <v/>
      </c>
      <c r="E48" s="1058" t="str">
        <f>IF('B2_Allgemeine Angaben'!D7="vst",I48+K48+M48+O48,"")</f>
        <v/>
      </c>
      <c r="F48" s="1058"/>
      <c r="G48" s="1069"/>
      <c r="H48" s="1070"/>
      <c r="I48" s="1127" t="str">
        <f>IF('B2_Allgemeine Angaben'!D7="vst",J12/($P$6)*J11,"")</f>
        <v/>
      </c>
      <c r="J48" s="1128" t="str">
        <f>IF('B2_Allgemeine Angaben'!D7="vst",I48/J11,"")</f>
        <v/>
      </c>
      <c r="K48" s="1127" t="str">
        <f>IF('B2_Allgemeine Angaben'!D7="vst",L12/($P$6)*L11,"")</f>
        <v/>
      </c>
      <c r="L48" s="1128" t="str">
        <f>IF('B2_Allgemeine Angaben'!D7="vst",K48/L11,"")</f>
        <v/>
      </c>
      <c r="M48" s="1127" t="str">
        <f>IF('B2_Allgemeine Angaben'!D7="vst",N12/($P$6)*N11,"")</f>
        <v/>
      </c>
      <c r="N48" s="1128" t="str">
        <f>IF('B2_Allgemeine Angaben'!D7="vst",M48/N11,"")</f>
        <v/>
      </c>
      <c r="O48" s="1127" t="str">
        <f>IF('B2_Allgemeine Angaben'!D7="vst",P12/($P$6)*P11,"")</f>
        <v/>
      </c>
      <c r="P48" s="1128" t="str">
        <f>IF('B2_Allgemeine Angaben'!D7="vst",O48/P11,"")</f>
        <v/>
      </c>
      <c r="Q48" s="1129"/>
      <c r="R48" s="1065"/>
      <c r="S48" s="1130"/>
      <c r="T48" s="1131"/>
      <c r="U48" s="1132"/>
      <c r="V48" s="1131"/>
      <c r="W48" s="8"/>
      <c r="X48" s="462"/>
    </row>
    <row r="49" spans="1:25" x14ac:dyDescent="0.2">
      <c r="A49" s="9"/>
      <c r="B49" s="1124"/>
      <c r="C49" s="1053" t="s">
        <v>99</v>
      </c>
      <c r="D49" s="1068" t="str">
        <f>IF('B2_Allgemeine Angaben'!D7="vst",D47-D48,"")</f>
        <v/>
      </c>
      <c r="E49" s="1058" t="str">
        <f>IF('B2_Allgemeine Angaben'!D7="vst",I49+K49+M49+O49,"")</f>
        <v/>
      </c>
      <c r="F49" s="1058"/>
      <c r="G49" s="1069"/>
      <c r="H49" s="1070"/>
      <c r="I49" s="1127" t="str">
        <f>IF('B2_Allgemeine Angaben'!D7="vst",(I47-I48),"")</f>
        <v/>
      </c>
      <c r="J49" s="1128" t="str">
        <f>IF('B2_Allgemeine Angaben'!$D$7="vst",ROUND($D$49/eeadivisor,2),"")</f>
        <v/>
      </c>
      <c r="K49" s="1127" t="str">
        <f>IF('B2_Allgemeine Angaben'!D7="vst",(K47-K48),"")</f>
        <v/>
      </c>
      <c r="L49" s="1128" t="str">
        <f>IF('B2_Allgemeine Angaben'!$D$7="vst",ROUND($D$49/eeadivisor,2),"")</f>
        <v/>
      </c>
      <c r="M49" s="1127" t="str">
        <f>IF('B2_Allgemeine Angaben'!D7="vst",(M47-M48),"")</f>
        <v/>
      </c>
      <c r="N49" s="1128" t="str">
        <f>IF('B2_Allgemeine Angaben'!$D$7="vst",ROUND($D$49/eeadivisor,2),"")</f>
        <v/>
      </c>
      <c r="O49" s="1127" t="str">
        <f>IF('B2_Allgemeine Angaben'!D7="vst",(O47-O48),"")</f>
        <v/>
      </c>
      <c r="P49" s="1128" t="str">
        <f>IF('B2_Allgemeine Angaben'!$D$7="vst",ROUND($D$49/eeadivisor,2),"")</f>
        <v/>
      </c>
      <c r="Q49" s="1129"/>
      <c r="R49" s="1133" t="s">
        <v>103</v>
      </c>
      <c r="S49" s="1130"/>
      <c r="T49" s="1131"/>
      <c r="U49" s="1132"/>
      <c r="V49" s="1131"/>
      <c r="W49" s="8"/>
    </row>
    <row r="50" spans="1:25" ht="15" thickBot="1" x14ac:dyDescent="0.25">
      <c r="A50" s="9"/>
      <c r="B50"/>
      <c r="C50"/>
      <c r="D50"/>
      <c r="E50"/>
      <c r="F50"/>
      <c r="G50" s="1029"/>
      <c r="H50" s="1134"/>
      <c r="I50" s="1135"/>
      <c r="J50" s="1136"/>
      <c r="K50" s="1135"/>
      <c r="L50" s="1136"/>
      <c r="M50" s="1135"/>
      <c r="N50" s="1136"/>
      <c r="O50" s="1135"/>
      <c r="P50" s="1136"/>
      <c r="Q50" s="1135"/>
      <c r="R50"/>
      <c r="S50" s="1025"/>
      <c r="T50" s="1134"/>
      <c r="U50" s="1135"/>
      <c r="V50" s="1134"/>
      <c r="W50" s="8"/>
    </row>
    <row r="51" spans="1:25" ht="15" thickBot="1" x14ac:dyDescent="0.25">
      <c r="A51" s="9"/>
      <c r="B51"/>
      <c r="C51"/>
      <c r="D51" s="640" t="s">
        <v>100</v>
      </c>
      <c r="E51"/>
      <c r="F51" s="1032"/>
      <c r="G51" s="640" t="s">
        <v>63</v>
      </c>
      <c r="H51" s="1137">
        <f>IF(ISERROR(H47),"",H47)</f>
        <v>0</v>
      </c>
      <c r="I51" s="640" t="s">
        <v>64</v>
      </c>
      <c r="J51" s="1137">
        <f>IF('B2_Allgemeine Angaben'!D7="vst",ROUND(J12/$P$6+J49,2),IF('B2_Allgemeine Angaben'!D7&lt;&gt;"vst",KAT!H32))</f>
        <v>0</v>
      </c>
      <c r="K51" s="640" t="s">
        <v>65</v>
      </c>
      <c r="L51" s="1137">
        <f>IF('B2_Allgemeine Angaben'!D7="vst",ROUND(L12/$P$6+L49,2),IF('B2_Allgemeine Angaben'!D7&lt;&gt;"vst",KAT!H33))</f>
        <v>0</v>
      </c>
      <c r="M51" s="640" t="s">
        <v>66</v>
      </c>
      <c r="N51" s="1137">
        <f>IF('B2_Allgemeine Angaben'!D7="vst",ROUND(N12/$P$6+N49,2),IF('B2_Allgemeine Angaben'!D7&lt;&gt;"vst",KAT!H34))</f>
        <v>0</v>
      </c>
      <c r="O51" s="640" t="s">
        <v>67</v>
      </c>
      <c r="P51" s="1137">
        <f>IF('B2_Allgemeine Angaben'!D7="vst",ROUND(P12/$P$6+P49,2),IF('B2_Allgemeine Angaben'!D7&lt;&gt;"vst",KAT!H35))</f>
        <v>0</v>
      </c>
      <c r="Q51" s="640" t="s">
        <v>101</v>
      </c>
      <c r="R51" s="1137" t="e">
        <f>ROUND(R38+R26+R16,2)</f>
        <v>#VALUE!</v>
      </c>
      <c r="S51" s="1138" t="s">
        <v>102</v>
      </c>
      <c r="T51" s="1137" t="e">
        <f>ROUND(T26,2)</f>
        <v>#VALUE!</v>
      </c>
      <c r="U51" s="1139" t="s">
        <v>152</v>
      </c>
      <c r="V51" s="1137" t="e">
        <f>IF('B2_Allgemeine Angaben'!D7="vst",V19-0.03,V19)</f>
        <v>#VALUE!</v>
      </c>
      <c r="W51" s="8"/>
      <c r="X51" s="6"/>
      <c r="Y51" s="448"/>
    </row>
    <row r="52" spans="1:25" ht="15.75" customHeight="1" x14ac:dyDescent="0.2">
      <c r="A52" s="9"/>
      <c r="B52"/>
      <c r="C52"/>
      <c r="D52" s="640"/>
      <c r="E52" s="1134"/>
      <c r="F52" s="1134"/>
      <c r="G52" s="41"/>
      <c r="H52" s="1134"/>
      <c r="I52" s="1021"/>
      <c r="J52" s="1021"/>
      <c r="K52" s="1021"/>
      <c r="L52" s="1021"/>
      <c r="M52" s="1021"/>
      <c r="N52" s="1134"/>
      <c r="O52" s="1134"/>
      <c r="P52" s="1134"/>
      <c r="Q52" s="1134"/>
      <c r="R52" s="1134"/>
      <c r="S52" s="1134"/>
      <c r="T52" s="1134"/>
      <c r="U52" s="1134"/>
      <c r="V52" s="1134"/>
      <c r="W52" s="8"/>
      <c r="X52" s="463"/>
      <c r="Y52" s="464"/>
    </row>
    <row r="53" spans="1:25" x14ac:dyDescent="0.2">
      <c r="A53" s="9"/>
      <c r="B53" s="1140" t="str">
        <f>IF('B2_Allgemeine Angaben'!L48&gt;0,"errechnete Pflegesätze (Tag je Platz) für angebundene / integrierte KZP:","")</f>
        <v/>
      </c>
      <c r="C53"/>
      <c r="D53"/>
      <c r="E53"/>
      <c r="F53"/>
      <c r="G53" s="640" t="str">
        <f>IF('B2_Allgemeine Angaben'!$L$48&gt;0,'B2_Gesamtkalkulation '!G51,"")</f>
        <v/>
      </c>
      <c r="H53" s="1141">
        <f>IFERROR(IF(B2_Kalkulation!H14&gt;0,'B2_Gesamtkalkulation '!H47*0.96/0.8,J53*0.78),0)</f>
        <v>0</v>
      </c>
      <c r="I53" s="640" t="str">
        <f>IF('B2_Allgemeine Angaben'!$L$48&gt;0,'B2_Gesamtkalkulation '!I51,"")</f>
        <v/>
      </c>
      <c r="J53" s="1141" t="str">
        <f>IFERROR(IF('B2_Allgemeine Angaben'!$L$48&gt;0,'B2_Gesamtkalkulation '!J47*0.96/0.8,""),0)</f>
        <v/>
      </c>
      <c r="K53" s="640" t="str">
        <f>IF('B2_Allgemeine Angaben'!$L$48&gt;0,'B2_Gesamtkalkulation '!K51,"")</f>
        <v/>
      </c>
      <c r="L53" s="1141" t="str">
        <f>IFERROR(IF('B2_Allgemeine Angaben'!$L$48&gt;0,'B2_Gesamtkalkulation '!L47*0.96/0.8,""),0)</f>
        <v/>
      </c>
      <c r="M53" s="640" t="str">
        <f>IF('B2_Allgemeine Angaben'!$L$48&gt;0,'B2_Gesamtkalkulation '!M51,"")</f>
        <v/>
      </c>
      <c r="N53" s="1141" t="str">
        <f>IFERROR(IF('B2_Allgemeine Angaben'!$L$48&gt;0,'B2_Gesamtkalkulation '!N47*0.96/0.8,""),0)</f>
        <v/>
      </c>
      <c r="O53" s="640" t="str">
        <f>IF('B2_Allgemeine Angaben'!$L$48&gt;0,'B2_Gesamtkalkulation '!O51,"")</f>
        <v/>
      </c>
      <c r="P53" s="1141" t="str">
        <f>IFERROR(IF('B2_Allgemeine Angaben'!$L$48&gt;0,'B2_Gesamtkalkulation '!P47*0.96/0.8,""),0)</f>
        <v/>
      </c>
      <c r="Q53" s="640" t="str">
        <f>IF('B2_Allgemeine Angaben'!$L$48&gt;0,'B2_Gesamtkalkulation '!Q51,"")</f>
        <v/>
      </c>
      <c r="R53" s="1141" t="str">
        <f>IFERROR(IF('B2_Allgemeine Angaben'!$L$48&gt;0,'B2_Gesamtkalkulation '!R51*0.96/0.8,""),0)</f>
        <v/>
      </c>
      <c r="S53" s="640" t="str">
        <f>IF('B2_Allgemeine Angaben'!$L$48&gt;0,'B2_Gesamtkalkulation '!S51,"")</f>
        <v/>
      </c>
      <c r="T53" s="1141" t="str">
        <f>IFERROR(IF('B2_Allgemeine Angaben'!$L$48&gt;0,'B2_Gesamtkalkulation '!T51*0.96/0.8,""),0)</f>
        <v/>
      </c>
      <c r="U53"/>
      <c r="V53" s="1141" t="str">
        <f>IFERROR(IF('B2_Allgemeine Angaben'!$L$48&gt;0,'B2_Gesamtkalkulation '!V51+0.03,""),0)</f>
        <v/>
      </c>
      <c r="W53" s="8"/>
      <c r="Y53" s="464"/>
    </row>
    <row r="54" spans="1:25" x14ac:dyDescent="0.2">
      <c r="A54" s="143"/>
      <c r="B54" s="54"/>
      <c r="C54" s="1142"/>
      <c r="D54" s="54"/>
      <c r="E54" s="54"/>
      <c r="F54" s="54"/>
      <c r="G54" s="1143"/>
      <c r="H54" s="54"/>
      <c r="I54" s="1143"/>
      <c r="J54" s="54"/>
      <c r="K54" s="1143"/>
      <c r="L54" s="1144"/>
      <c r="M54" s="1143"/>
      <c r="N54" s="1144"/>
      <c r="O54" s="1143"/>
      <c r="P54" s="1144"/>
      <c r="Q54" s="1143"/>
      <c r="R54" s="54"/>
      <c r="S54" s="1143"/>
      <c r="T54" s="54"/>
      <c r="U54" s="54"/>
      <c r="V54" s="54"/>
      <c r="W54" s="1015"/>
      <c r="Y54" s="464"/>
    </row>
    <row r="55" spans="1:25" ht="15" thickBot="1" x14ac:dyDescent="0.25">
      <c r="C55" s="3"/>
      <c r="G55" s="4"/>
      <c r="I55" s="4"/>
      <c r="K55" s="4"/>
      <c r="L55" s="6"/>
      <c r="M55" s="4"/>
      <c r="N55" s="6"/>
      <c r="O55" s="4"/>
      <c r="P55" s="6"/>
      <c r="Q55" s="4"/>
      <c r="S55" s="4"/>
      <c r="Y55" s="464"/>
    </row>
    <row r="56" spans="1:25" ht="15" thickBot="1" x14ac:dyDescent="0.25">
      <c r="D56" s="465"/>
      <c r="E56" s="466"/>
      <c r="F56" s="466"/>
      <c r="G56" s="466"/>
      <c r="H56" s="1832" t="s">
        <v>105</v>
      </c>
      <c r="I56" s="1833"/>
      <c r="J56" s="1833"/>
      <c r="K56" s="1833"/>
      <c r="L56" s="1833"/>
      <c r="M56" s="1833"/>
      <c r="N56" s="1834"/>
      <c r="O56" s="467"/>
      <c r="X56" s="468"/>
    </row>
    <row r="57" spans="1:25" x14ac:dyDescent="0.2">
      <c r="X57" s="458"/>
    </row>
    <row r="58" spans="1:25" hidden="1" x14ac:dyDescent="0.2">
      <c r="H58" s="469" t="s">
        <v>249</v>
      </c>
    </row>
    <row r="59" spans="1:25" x14ac:dyDescent="0.2">
      <c r="X59" s="458"/>
    </row>
  </sheetData>
  <sheetProtection algorithmName="SHA-512" hashValue="rGBptCxjvrK0S7HhM1p17VQld2806P54tVybK6HU2YEaSt/Qhr2R8884IKOaV43iIs3zxvvWQBqNz7q3Ae/k/A==" saltValue="xSf7shY1vKN2dI7Mkd6Iog==" spinCount="100000" sheet="1" objects="1" scenarios="1"/>
  <customSheetViews>
    <customSheetView guid="{9119B1A0-FD79-4FE4-B78E-10E0AEB8080B}" scale="90" showGridLines="0" fitToPage="1" hiddenRows="1" hiddenColumns="1">
      <pane xSplit="3" ySplit="15" topLeftCell="D31" activePane="bottomRight" state="frozen"/>
      <selection pane="bottomRight" activeCell="H33" sqref="H33"/>
      <pageMargins left="0.70866141732283472" right="0.70866141732283472" top="0.78740157480314965" bottom="0.78740157480314965" header="0.31496062992125984" footer="0.31496062992125984"/>
      <pageSetup paperSize="9" scale="64" orientation="landscape"/>
      <headerFooter>
        <oddHeader>&amp;C&amp;9Seite 3</oddHeader>
        <oddFooter>&amp;L&amp;8Version: 13.11.2019&amp;C&amp;8Verhandlungsunterlagen SGB XI (vereinfacht)</oddFooter>
      </headerFooter>
    </customSheetView>
  </customSheetViews>
  <mergeCells count="5">
    <mergeCell ref="A1:W1"/>
    <mergeCell ref="A2:W2"/>
    <mergeCell ref="H56:N56"/>
    <mergeCell ref="A3:W3"/>
    <mergeCell ref="A4:W4"/>
  </mergeCells>
  <conditionalFormatting sqref="D24:D36">
    <cfRule type="cellIs" dxfId="79" priority="52" operator="between">
      <formula>0</formula>
      <formula>0</formula>
    </cfRule>
  </conditionalFormatting>
  <conditionalFormatting sqref="D38:D45">
    <cfRule type="cellIs" dxfId="78" priority="51" operator="between">
      <formula>0</formula>
      <formula>0</formula>
    </cfRule>
  </conditionalFormatting>
  <conditionalFormatting sqref="D47">
    <cfRule type="cellIs" dxfId="77" priority="58" operator="between">
      <formula>0</formula>
      <formula>0</formula>
    </cfRule>
  </conditionalFormatting>
  <conditionalFormatting sqref="D16:W52">
    <cfRule type="containsErrors" dxfId="76" priority="70">
      <formula>ISERROR(D16)</formula>
    </cfRule>
  </conditionalFormatting>
  <conditionalFormatting sqref="G53:G55">
    <cfRule type="containsErrors" dxfId="75" priority="49">
      <formula>ISERROR(G53)</formula>
    </cfRule>
  </conditionalFormatting>
  <conditionalFormatting sqref="H47">
    <cfRule type="expression" dxfId="74" priority="59">
      <formula>$I$47=0</formula>
    </cfRule>
  </conditionalFormatting>
  <conditionalFormatting sqref="H10:P10">
    <cfRule type="cellIs" dxfId="72" priority="56" operator="between">
      <formula>0</formula>
      <formula>0</formula>
    </cfRule>
  </conditionalFormatting>
  <conditionalFormatting sqref="I53:I55">
    <cfRule type="containsErrors" dxfId="71" priority="43">
      <formula>ISERROR(I53)</formula>
    </cfRule>
  </conditionalFormatting>
  <conditionalFormatting sqref="K53:K55">
    <cfRule type="containsErrors" dxfId="69" priority="48">
      <formula>ISERROR(K53)</formula>
    </cfRule>
  </conditionalFormatting>
  <conditionalFormatting sqref="L51">
    <cfRule type="containsText" dxfId="68" priority="55" operator="containsText" text="FALSCH">
      <formula>NOT(ISERROR(SEARCH("FALSCH",L51)))</formula>
    </cfRule>
  </conditionalFormatting>
  <conditionalFormatting sqref="M53:M55">
    <cfRule type="containsErrors" dxfId="66" priority="47">
      <formula>ISERROR(M53)</formula>
    </cfRule>
  </conditionalFormatting>
  <conditionalFormatting sqref="N6">
    <cfRule type="cellIs" dxfId="65" priority="57" operator="between">
      <formula>0</formula>
      <formula>0</formula>
    </cfRule>
  </conditionalFormatting>
  <conditionalFormatting sqref="N51">
    <cfRule type="containsText" dxfId="64" priority="11" operator="containsText" text="FALSCH">
      <formula>NOT(ISERROR(SEARCH("FALSCH",N51)))</formula>
    </cfRule>
  </conditionalFormatting>
  <conditionalFormatting sqref="O53:O55">
    <cfRule type="containsErrors" dxfId="62" priority="46">
      <formula>ISERROR(O53)</formula>
    </cfRule>
  </conditionalFormatting>
  <conditionalFormatting sqref="P51">
    <cfRule type="containsText" dxfId="61" priority="9" operator="containsText" text="FALSCH">
      <formula>NOT(ISERROR(SEARCH("FALSCH",P51)))</formula>
    </cfRule>
  </conditionalFormatting>
  <conditionalFormatting sqref="Q53:Q55">
    <cfRule type="containsErrors" dxfId="59" priority="45">
      <formula>ISERROR(Q53)</formula>
    </cfRule>
  </conditionalFormatting>
  <conditionalFormatting sqref="R51">
    <cfRule type="containsText" dxfId="56" priority="6" operator="containsText" text="FALSCH">
      <formula>NOT(ISERROR(SEARCH("FALSCH",R51)))</formula>
    </cfRule>
  </conditionalFormatting>
  <conditionalFormatting sqref="S53:S55">
    <cfRule type="containsErrors" dxfId="54" priority="44">
      <formula>ISERROR(S53)</formula>
    </cfRule>
  </conditionalFormatting>
  <conditionalFormatting sqref="T51">
    <cfRule type="containsText" dxfId="53" priority="3" operator="containsText" text="FALSCH">
      <formula>NOT(ISERROR(SEARCH("FALSCH",T51)))</formula>
    </cfRule>
  </conditionalFormatting>
  <conditionalFormatting sqref="Y52:Y55">
    <cfRule type="containsErrors" dxfId="50" priority="14">
      <formula>ISERROR(Y52)</formula>
    </cfRule>
  </conditionalFormatting>
  <hyperlinks>
    <hyperlink ref="H56" location="'Anlage 1'!A1" display="Anlage 1" xr:uid="{00000000-0004-0000-0400-000000000000}"/>
    <hyperlink ref="H56:N56" location="Bewohnervertretung!Druckbereich" display="gehe weiter zu Bewohnervertretung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64" orientation="landscape"/>
  <headerFooter>
    <oddHeader>&amp;C&amp;9Seite 4 Gesamtkalkulation</oddHeader>
    <oddFooter>&amp;L&amp;8Version: 21.11.2024&amp;C&amp;8Verhandlungsunterlagen SGB XI (vereinfacht B2)&amp;R&amp;8PSK-Beschluss vom 07.11.2024</oddFooter>
  </headerFooter>
  <ignoredErrors>
    <ignoredError sqref="H16:V35 H42:R46 H47:I49 M47:M49 O47:R49 R51:V51 H37:V41 I36:V36" evalError="1"/>
    <ignoredError sqref="J47:L49 N47:N49" evalError="1" formula="1"/>
  </ignoredErrors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6F1E600-4C53-4855-B1C1-DFA9D1C96BCC}">
            <xm:f>'B2_Allgemeine Angaben'!$D$7&lt;&gt;"vst"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B41:C41</xm:sqref>
        </x14:conditionalFormatting>
        <x14:conditionalFormatting xmlns:xm="http://schemas.microsoft.com/office/excel/2006/main">
          <x14:cfRule type="expression" priority="65" id="{B76BB2F1-06D1-44A0-8EA3-3294A0622347}">
            <xm:f>'B2_Allgemeine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14:cfRule type="expression" priority="62" id="{074122E9-B25B-47E2-9727-2EAB10277E85}">
            <xm:f>'B2_Allgemeine Angaben'!$D$7="kzp"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C12:P12 B48:P48 B49:R49</xm:sqref>
        </x14:conditionalFormatting>
        <x14:conditionalFormatting xmlns:xm="http://schemas.microsoft.com/office/excel/2006/main">
          <x14:cfRule type="expression" priority="13" id="{BA52BD0A-4FDD-4579-858B-44C3A2B68CC7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H53</xm:sqref>
        </x14:conditionalFormatting>
        <x14:conditionalFormatting xmlns:xm="http://schemas.microsoft.com/office/excel/2006/main">
          <x14:cfRule type="expression" priority="12" id="{233FCF2A-E80E-4840-96BA-A419F5030BC6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J53</xm:sqref>
        </x14:conditionalFormatting>
        <x14:conditionalFormatting xmlns:xm="http://schemas.microsoft.com/office/excel/2006/main">
          <x14:cfRule type="expression" priority="15" id="{9331D945-CFC1-4957-A25C-808E88B3E5B7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L53</xm:sqref>
        </x14:conditionalFormatting>
        <x14:conditionalFormatting xmlns:xm="http://schemas.microsoft.com/office/excel/2006/main">
          <x14:cfRule type="expression" priority="20" id="{17A60CE8-74DF-42F0-A6AA-A3A7CFB5AAD0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N53</xm:sqref>
        </x14:conditionalFormatting>
        <x14:conditionalFormatting xmlns:xm="http://schemas.microsoft.com/office/excel/2006/main">
          <x14:cfRule type="expression" priority="19" id="{740B77BE-7129-4761-ADE8-D1AFE7D12FC4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P53</xm:sqref>
        </x14:conditionalFormatting>
        <x14:conditionalFormatting xmlns:xm="http://schemas.microsoft.com/office/excel/2006/main">
          <x14:cfRule type="expression" priority="69" id="{07C8E480-9846-495D-94E5-811CD282BFFC}">
            <xm:f>'B2_Allgemeine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R49 H56:P56</xm:sqref>
        </x14:conditionalFormatting>
        <x14:conditionalFormatting xmlns:xm="http://schemas.microsoft.com/office/excel/2006/main">
          <x14:cfRule type="expression" priority="66" id="{0566DA16-5EBC-4792-A482-DB323D7D639D}">
            <xm:f>'B2_Allgemeine Angaben'!$D$7="kzp"</xm:f>
            <x14:dxf>
              <font>
                <color theme="0"/>
              </font>
            </x14:dxf>
          </x14:cfRule>
          <xm:sqref>R49</xm:sqref>
        </x14:conditionalFormatting>
        <x14:conditionalFormatting xmlns:xm="http://schemas.microsoft.com/office/excel/2006/main">
          <x14:cfRule type="expression" priority="18" id="{30F6EB2A-7C14-4981-B0F8-BC6A1F2D2F71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R53</xm:sqref>
        </x14:conditionalFormatting>
        <x14:conditionalFormatting xmlns:xm="http://schemas.microsoft.com/office/excel/2006/main">
          <x14:cfRule type="expression" priority="17" id="{D95CADF1-7908-4F25-A6C6-114B81B4FEC0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T53</xm:sqref>
        </x14:conditionalFormatting>
        <x14:conditionalFormatting xmlns:xm="http://schemas.microsoft.com/office/excel/2006/main">
          <x14:cfRule type="expression" priority="16" id="{3A214EB9-4696-48AF-9F62-C67D35E58EAF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V53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59"/>
  <sheetViews>
    <sheetView showGridLines="0" zoomScaleNormal="100" workbookViewId="0">
      <selection activeCell="J21" sqref="J21"/>
    </sheetView>
  </sheetViews>
  <sheetFormatPr baseColWidth="10" defaultColWidth="11" defaultRowHeight="14.25" x14ac:dyDescent="0.2"/>
  <cols>
    <col min="1" max="1" width="2.125" style="2" customWidth="1"/>
    <col min="2" max="2" width="5.625" style="2" customWidth="1"/>
    <col min="3" max="3" width="34.25" style="2" customWidth="1"/>
    <col min="4" max="4" width="16.625" style="2" customWidth="1"/>
    <col min="5" max="5" width="13.625" style="2" hidden="1" customWidth="1"/>
    <col min="6" max="6" width="11.625" style="2" hidden="1" customWidth="1"/>
    <col min="7" max="7" width="12.625" style="2" hidden="1" customWidth="1"/>
    <col min="8" max="8" width="13.625" style="2" customWidth="1"/>
    <col min="9" max="9" width="12.625" style="6" hidden="1" customWidth="1"/>
    <col min="10" max="10" width="13.625" style="2" customWidth="1"/>
    <col min="11" max="11" width="12.625" style="6" hidden="1" customWidth="1"/>
    <col min="12" max="12" width="13.625" style="2" customWidth="1"/>
    <col min="13" max="13" width="12.625" style="2" hidden="1" customWidth="1"/>
    <col min="14" max="14" width="13.625" style="2" customWidth="1"/>
    <col min="15" max="15" width="12.625" style="2" hidden="1" customWidth="1"/>
    <col min="16" max="16" width="13.625" style="2" customWidth="1"/>
    <col min="17" max="17" width="12.625" style="6" hidden="1" customWidth="1"/>
    <col min="18" max="18" width="13.625" style="2" customWidth="1"/>
    <col min="19" max="19" width="12.625" style="2" hidden="1" customWidth="1"/>
    <col min="20" max="20" width="13.625" style="2" customWidth="1"/>
    <col min="21" max="21" width="12.625" style="2" hidden="1" customWidth="1"/>
    <col min="22" max="22" width="13.625" style="2" customWidth="1"/>
    <col min="23" max="23" width="2.125" style="2" customWidth="1"/>
    <col min="24" max="42" width="11" style="2" customWidth="1"/>
    <col min="43" max="16384" width="11" style="2"/>
  </cols>
  <sheetData>
    <row r="1" spans="1:27" ht="15" customHeight="1" x14ac:dyDescent="0.25">
      <c r="A1" s="1826" t="str">
        <f>'B2_Allgemeine Angaben'!A1:N1</f>
        <v>Vereinfachtes Verfahren der Aufforderung zum Abschluss einer Pflegesatzvereinbarung gemäß § 84, 85 SGB XI (Stand 31.10.2024)</v>
      </c>
      <c r="B1" s="1827"/>
      <c r="C1" s="1827"/>
      <c r="D1" s="1827"/>
      <c r="E1" s="1827"/>
      <c r="F1" s="1827"/>
      <c r="G1" s="1827"/>
      <c r="H1" s="1827"/>
      <c r="I1" s="1828"/>
      <c r="J1" s="1828"/>
      <c r="K1" s="1828"/>
      <c r="L1" s="1828"/>
      <c r="M1" s="1828"/>
      <c r="N1" s="1828"/>
      <c r="O1" s="1828"/>
      <c r="P1" s="1828"/>
      <c r="Q1" s="1828"/>
      <c r="R1" s="1828"/>
      <c r="S1" s="1828"/>
      <c r="T1" s="1828"/>
      <c r="U1" s="1828"/>
      <c r="V1" s="1828"/>
      <c r="W1" s="1829"/>
      <c r="X1" s="448"/>
      <c r="Y1" s="449"/>
      <c r="Z1" s="450"/>
      <c r="AA1" s="451"/>
    </row>
    <row r="2" spans="1:27" ht="15" customHeight="1" x14ac:dyDescent="0.25">
      <c r="A2" s="1614" t="s">
        <v>70</v>
      </c>
      <c r="B2" s="1615"/>
      <c r="C2" s="1615"/>
      <c r="D2" s="1615"/>
      <c r="E2" s="1615"/>
      <c r="F2" s="1615"/>
      <c r="G2" s="1615"/>
      <c r="H2" s="1615"/>
      <c r="I2" s="1830"/>
      <c r="J2" s="1830"/>
      <c r="K2" s="1830"/>
      <c r="L2" s="1830"/>
      <c r="M2" s="1830"/>
      <c r="N2" s="1830"/>
      <c r="O2" s="1830"/>
      <c r="P2" s="1830"/>
      <c r="Q2" s="1830"/>
      <c r="R2" s="1830"/>
      <c r="S2" s="1830"/>
      <c r="T2" s="1830"/>
      <c r="U2" s="1830"/>
      <c r="V2" s="1830"/>
      <c r="W2" s="1831"/>
      <c r="X2" s="452"/>
    </row>
    <row r="3" spans="1:27" ht="15" customHeight="1" x14ac:dyDescent="0.2">
      <c r="A3" s="1835" t="str">
        <f>'B2_Allgemeine Angaben'!A3:N3</f>
        <v/>
      </c>
      <c r="B3" s="1836"/>
      <c r="C3" s="1836"/>
      <c r="D3" s="1836"/>
      <c r="E3" s="1836"/>
      <c r="F3" s="1836"/>
      <c r="G3" s="1836"/>
      <c r="H3" s="1836"/>
      <c r="I3" s="1830"/>
      <c r="J3" s="1830"/>
      <c r="K3" s="1830"/>
      <c r="L3" s="1830"/>
      <c r="M3" s="1830"/>
      <c r="N3" s="1830"/>
      <c r="O3" s="1830"/>
      <c r="P3" s="1830"/>
      <c r="Q3" s="1830"/>
      <c r="R3" s="1830"/>
      <c r="S3" s="1830"/>
      <c r="T3" s="1830"/>
      <c r="U3" s="1830"/>
      <c r="V3" s="1830"/>
      <c r="W3" s="1831"/>
      <c r="X3" s="453"/>
    </row>
    <row r="4" spans="1:27" ht="15" customHeight="1" x14ac:dyDescent="0.2">
      <c r="A4" s="1837" t="str">
        <f>'B2_Allgemeine Angaben'!A4:N4</f>
        <v/>
      </c>
      <c r="B4" s="1838"/>
      <c r="C4" s="1838"/>
      <c r="D4" s="1838"/>
      <c r="E4" s="1838"/>
      <c r="F4" s="1838"/>
      <c r="G4" s="1838"/>
      <c r="H4" s="1838"/>
      <c r="I4" s="1839"/>
      <c r="J4" s="1839"/>
      <c r="K4" s="1839"/>
      <c r="L4" s="1839"/>
      <c r="M4" s="1839"/>
      <c r="N4" s="1839"/>
      <c r="O4" s="1839"/>
      <c r="P4" s="1839"/>
      <c r="Q4" s="1839"/>
      <c r="R4" s="1839"/>
      <c r="S4" s="1839"/>
      <c r="T4" s="1839"/>
      <c r="U4" s="1839"/>
      <c r="V4" s="1839"/>
      <c r="W4" s="1840"/>
      <c r="X4" s="454"/>
    </row>
    <row r="5" spans="1:27" ht="14.25" customHeight="1" x14ac:dyDescent="0.2">
      <c r="A5" s="9"/>
      <c r="B5" s="1016"/>
      <c r="C5" s="1017"/>
      <c r="D5" s="1017"/>
      <c r="E5" s="1018" t="s">
        <v>71</v>
      </c>
      <c r="F5" s="1018"/>
      <c r="G5" s="240"/>
      <c r="H5"/>
      <c r="I5" s="1019"/>
      <c r="J5" s="1020" t="s">
        <v>126</v>
      </c>
      <c r="K5" s="1019"/>
      <c r="L5" s="1020" t="s">
        <v>127</v>
      </c>
      <c r="M5" s="240"/>
      <c r="N5" s="1020" t="s">
        <v>143</v>
      </c>
      <c r="O5" s="240"/>
      <c r="P5" s="1020" t="s">
        <v>74</v>
      </c>
      <c r="Q5" s="1019"/>
      <c r="R5"/>
      <c r="S5" s="240"/>
      <c r="T5"/>
      <c r="U5" s="240"/>
      <c r="V5"/>
      <c r="W5" s="8"/>
      <c r="X5" s="453"/>
    </row>
    <row r="6" spans="1:27" x14ac:dyDescent="0.2">
      <c r="A6" s="9"/>
      <c r="B6"/>
      <c r="C6" s="1021" t="s">
        <v>72</v>
      </c>
      <c r="D6" s="1022" t="str">
        <f>IF('B2_Allgemeine Angaben'!L47&gt;0,'B2_Allgemeine Angaben'!L47,"")</f>
        <v/>
      </c>
      <c r="E6" s="1019" t="s">
        <v>73</v>
      </c>
      <c r="F6" s="1019"/>
      <c r="G6" s="240"/>
      <c r="H6"/>
      <c r="I6" s="1019"/>
      <c r="J6" s="1023" t="str">
        <f>IF(B2_Kalkulation!I6&gt;0,B2_Kalkulation!I6,"")</f>
        <v/>
      </c>
      <c r="K6" s="1019"/>
      <c r="L6" s="1024" t="str">
        <f>IF(B2_Kalkulation!D6&gt;0,B2_Kalkulation!D6,"")</f>
        <v/>
      </c>
      <c r="M6" s="1025"/>
      <c r="N6" s="1026" t="str">
        <f>IFERROR(L6*J6*'B2_Allgemeine Angaben'!L47/100,"")</f>
        <v/>
      </c>
      <c r="O6" s="240"/>
      <c r="P6" s="1026" t="str">
        <f>IFERROR(ROUND(J6/12,2),"")</f>
        <v/>
      </c>
      <c r="Q6" s="1027"/>
      <c r="R6"/>
      <c r="S6" s="240"/>
      <c r="T6" s="377"/>
      <c r="U6" s="1028"/>
      <c r="V6" s="377"/>
      <c r="W6" s="8"/>
    </row>
    <row r="7" spans="1:27" ht="3" customHeight="1" x14ac:dyDescent="0.2">
      <c r="A7" s="9"/>
      <c r="B7"/>
      <c r="C7" s="1021"/>
      <c r="D7" s="1021"/>
      <c r="E7" s="1029"/>
      <c r="F7" s="1029"/>
      <c r="G7" s="240"/>
      <c r="H7"/>
      <c r="I7" s="1030"/>
      <c r="J7" s="1021"/>
      <c r="K7" s="1030"/>
      <c r="L7" s="1021"/>
      <c r="M7" s="1030"/>
      <c r="N7" s="1021"/>
      <c r="O7" s="240"/>
      <c r="P7"/>
      <c r="Q7" s="1030"/>
      <c r="R7" s="1021"/>
      <c r="S7" s="1030"/>
      <c r="T7" s="377"/>
      <c r="U7" s="1028"/>
      <c r="V7" s="377"/>
      <c r="W7" s="8"/>
    </row>
    <row r="8" spans="1:27" x14ac:dyDescent="0.2">
      <c r="A8" s="9"/>
      <c r="B8"/>
      <c r="C8" s="377"/>
      <c r="D8" s="1021"/>
      <c r="E8" s="1019" t="s">
        <v>75</v>
      </c>
      <c r="F8" s="1019"/>
      <c r="G8" s="240"/>
      <c r="H8"/>
      <c r="I8" s="1030"/>
      <c r="J8" s="1031" t="s">
        <v>144</v>
      </c>
      <c r="K8" s="1019"/>
      <c r="L8" s="1024" t="str">
        <f>IF('B2_Allgemeine Angaben'!D7="vst",100,IF('B2_Allgemeine Angaben'!D7="kzp",100,L6))</f>
        <v/>
      </c>
      <c r="M8" s="1029"/>
      <c r="N8" s="1026" t="str">
        <f>IFERROR(B2_Kalkulation!L12*J6*L8/100,"")</f>
        <v/>
      </c>
      <c r="O8" s="240"/>
      <c r="P8"/>
      <c r="Q8" s="1027"/>
      <c r="R8"/>
      <c r="S8" s="240"/>
      <c r="T8" s="377"/>
      <c r="U8" s="1028"/>
      <c r="V8" s="377"/>
      <c r="W8" s="8"/>
      <c r="X8" s="455"/>
    </row>
    <row r="9" spans="1:27" ht="9.9499999999999993" customHeight="1" x14ac:dyDescent="0.2">
      <c r="A9" s="9"/>
      <c r="B9"/>
      <c r="C9" s="377"/>
      <c r="D9" s="1021"/>
      <c r="E9" s="240"/>
      <c r="F9" s="240"/>
      <c r="G9" s="240"/>
      <c r="H9"/>
      <c r="I9" s="1030"/>
      <c r="J9" s="1021"/>
      <c r="K9" s="1021"/>
      <c r="L9" s="1021"/>
      <c r="M9" s="1025"/>
      <c r="N9" s="1032"/>
      <c r="O9" s="240"/>
      <c r="P9"/>
      <c r="Q9" s="1025"/>
      <c r="R9" s="1032"/>
      <c r="S9" s="240"/>
      <c r="T9" s="377"/>
      <c r="U9" s="1028"/>
      <c r="V9" s="377"/>
      <c r="W9" s="8"/>
      <c r="X9" s="455"/>
    </row>
    <row r="10" spans="1:27" x14ac:dyDescent="0.2">
      <c r="A10" s="9"/>
      <c r="B10"/>
      <c r="C10" s="1031"/>
      <c r="D10" s="244" t="s">
        <v>29</v>
      </c>
      <c r="E10" s="1033">
        <f>SUM(H10:P10)</f>
        <v>0</v>
      </c>
      <c r="F10" s="1033" t="s">
        <v>206</v>
      </c>
      <c r="G10" s="240"/>
      <c r="H10" s="1034">
        <f>B2_Kalkulation!H14</f>
        <v>0</v>
      </c>
      <c r="I10" s="1035"/>
      <c r="J10" s="1034">
        <f>B2_Kalkulation!I14</f>
        <v>0</v>
      </c>
      <c r="K10" s="1035"/>
      <c r="L10" s="1034">
        <f>B2_Kalkulation!J14</f>
        <v>0</v>
      </c>
      <c r="M10" s="1036"/>
      <c r="N10" s="1034">
        <f>B2_Kalkulation!K14</f>
        <v>0</v>
      </c>
      <c r="O10" s="1036"/>
      <c r="P10" s="1034">
        <f>B2_Kalkulation!L14</f>
        <v>0</v>
      </c>
      <c r="Q10" s="1019"/>
      <c r="R10"/>
      <c r="S10" s="240"/>
      <c r="T10" s="377"/>
      <c r="U10" s="1028"/>
      <c r="V10" s="377"/>
      <c r="W10" s="8"/>
      <c r="X10" s="455"/>
    </row>
    <row r="11" spans="1:27" x14ac:dyDescent="0.2">
      <c r="A11" s="9"/>
      <c r="B11"/>
      <c r="C11" s="1031"/>
      <c r="D11" s="244" t="s">
        <v>56</v>
      </c>
      <c r="E11" s="1037">
        <f>SUM(H11:P11)</f>
        <v>0</v>
      </c>
      <c r="F11" s="1038" t="e">
        <f>J11+L11+N11+P11</f>
        <v>#VALUE!</v>
      </c>
      <c r="G11" s="240"/>
      <c r="H11" s="1039" t="str">
        <f>IFERROR(H10*$J$6*$L$6/100,"")</f>
        <v/>
      </c>
      <c r="I11" s="1019"/>
      <c r="J11" s="1039" t="str">
        <f>IFERROR(J10*$J$6*$L$6/100,"")</f>
        <v/>
      </c>
      <c r="K11" s="1019"/>
      <c r="L11" s="1039" t="str">
        <f>IFERROR(L10*$J$6*$L$6/100,"")</f>
        <v/>
      </c>
      <c r="M11" s="240"/>
      <c r="N11" s="1039" t="str">
        <f>IFERROR(N10*$J$6*$L$6/100,"")</f>
        <v/>
      </c>
      <c r="O11" s="240"/>
      <c r="P11" s="1039" t="str">
        <f>IFERROR(P10*$J$6*$L$6/100,"")</f>
        <v/>
      </c>
      <c r="Q11" s="1019"/>
      <c r="R11"/>
      <c r="S11" s="240"/>
      <c r="T11"/>
      <c r="U11" s="240"/>
      <c r="V11"/>
      <c r="W11" s="8"/>
    </row>
    <row r="12" spans="1:27" x14ac:dyDescent="0.2">
      <c r="A12" s="9"/>
      <c r="B12"/>
      <c r="C12" s="1031"/>
      <c r="D12" s="1032" t="s">
        <v>76</v>
      </c>
      <c r="E12" s="1038"/>
      <c r="F12" s="1038"/>
      <c r="G12" s="240"/>
      <c r="H12" s="1040"/>
      <c r="I12" s="1019"/>
      <c r="J12" s="1041">
        <v>805</v>
      </c>
      <c r="K12" s="1019"/>
      <c r="L12" s="1041">
        <v>1319</v>
      </c>
      <c r="M12" s="240"/>
      <c r="N12" s="1041">
        <v>1855</v>
      </c>
      <c r="O12" s="240"/>
      <c r="P12" s="1041">
        <v>2096</v>
      </c>
      <c r="Q12" s="1019"/>
      <c r="R12"/>
      <c r="S12" s="240"/>
      <c r="T12"/>
      <c r="U12" s="240"/>
      <c r="V12"/>
      <c r="W12" s="8"/>
      <c r="X12" s="454"/>
    </row>
    <row r="13" spans="1:27" ht="9.9499999999999993" customHeight="1" x14ac:dyDescent="0.2">
      <c r="A13" s="9"/>
      <c r="B13"/>
      <c r="C13"/>
      <c r="D13"/>
      <c r="E13" s="240"/>
      <c r="F13" s="1042"/>
      <c r="G13" s="1043"/>
      <c r="H13"/>
      <c r="I13" s="1043"/>
      <c r="J13"/>
      <c r="K13" s="1043"/>
      <c r="L13"/>
      <c r="M13" s="1043"/>
      <c r="N13"/>
      <c r="O13" s="240"/>
      <c r="P13"/>
      <c r="Q13" s="1019"/>
      <c r="R13"/>
      <c r="S13" s="240"/>
      <c r="T13"/>
      <c r="U13" s="240"/>
      <c r="V13"/>
      <c r="W13" s="8"/>
      <c r="X13" s="454"/>
    </row>
    <row r="14" spans="1:27" ht="39.950000000000003" customHeight="1" x14ac:dyDescent="0.2">
      <c r="A14" s="9"/>
      <c r="B14"/>
      <c r="C14" s="1"/>
      <c r="D14" s="1044"/>
      <c r="E14" s="1045"/>
      <c r="F14" s="1045"/>
      <c r="G14" s="1046" t="s">
        <v>77</v>
      </c>
      <c r="H14" s="1047" t="s">
        <v>153</v>
      </c>
      <c r="I14" s="1046" t="s">
        <v>78</v>
      </c>
      <c r="J14" s="1048" t="s">
        <v>154</v>
      </c>
      <c r="K14" s="1046" t="s">
        <v>79</v>
      </c>
      <c r="L14" s="1048" t="s">
        <v>155</v>
      </c>
      <c r="M14" s="1046" t="s">
        <v>80</v>
      </c>
      <c r="N14" s="1048" t="s">
        <v>156</v>
      </c>
      <c r="O14" s="1046" t="s">
        <v>81</v>
      </c>
      <c r="P14" s="1048" t="s">
        <v>157</v>
      </c>
      <c r="Q14" s="1046" t="s">
        <v>82</v>
      </c>
      <c r="R14" s="1048" t="s">
        <v>158</v>
      </c>
      <c r="S14" s="1046" t="s">
        <v>83</v>
      </c>
      <c r="T14" s="1047" t="s">
        <v>159</v>
      </c>
      <c r="U14" s="1046" t="s">
        <v>145</v>
      </c>
      <c r="V14" s="1047" t="s">
        <v>160</v>
      </c>
      <c r="W14" s="8"/>
      <c r="X14" s="454"/>
    </row>
    <row r="15" spans="1:27" x14ac:dyDescent="0.2">
      <c r="A15" s="9"/>
      <c r="B15" s="223"/>
      <c r="C15" s="223"/>
      <c r="D15" s="1049" t="s">
        <v>84</v>
      </c>
      <c r="E15" s="1050" t="s">
        <v>85</v>
      </c>
      <c r="F15" s="1050" t="s">
        <v>142</v>
      </c>
      <c r="G15" s="1051" t="s">
        <v>86</v>
      </c>
      <c r="H15" s="1052" t="s">
        <v>586</v>
      </c>
      <c r="I15" s="1053" t="s">
        <v>86</v>
      </c>
      <c r="J15" s="1054" t="s">
        <v>587</v>
      </c>
      <c r="K15" s="1051" t="s">
        <v>86</v>
      </c>
      <c r="L15" s="1052" t="s">
        <v>586</v>
      </c>
      <c r="M15" s="1051" t="s">
        <v>86</v>
      </c>
      <c r="N15" s="1052" t="s">
        <v>586</v>
      </c>
      <c r="O15" s="1051" t="s">
        <v>86</v>
      </c>
      <c r="P15" s="1052" t="s">
        <v>586</v>
      </c>
      <c r="Q15" s="1051" t="s">
        <v>86</v>
      </c>
      <c r="R15" s="1052" t="s">
        <v>586</v>
      </c>
      <c r="S15" s="1051" t="s">
        <v>86</v>
      </c>
      <c r="T15" s="1052" t="s">
        <v>586</v>
      </c>
      <c r="U15" s="1051" t="s">
        <v>86</v>
      </c>
      <c r="V15" s="1052" t="s">
        <v>586</v>
      </c>
      <c r="W15" s="8"/>
      <c r="X15" s="455"/>
    </row>
    <row r="16" spans="1:27" x14ac:dyDescent="0.2">
      <c r="A16" s="9"/>
      <c r="B16" s="1055" t="s">
        <v>87</v>
      </c>
      <c r="C16" s="1055" t="s">
        <v>213</v>
      </c>
      <c r="D16" s="1056" t="str">
        <f>IF(SUM(D17:D18,D20:D24)=0,"",SUM(D17:D18,D20:D24))</f>
        <v/>
      </c>
      <c r="E16" s="1057" t="e">
        <f>G16+I16+K16+M16+O16+Q16</f>
        <v>#DIV/0!</v>
      </c>
      <c r="F16" s="1058"/>
      <c r="G16" s="1059" t="e">
        <f>SUM(G17:G24)</f>
        <v>#DIV/0!</v>
      </c>
      <c r="H16" s="1060" t="e">
        <f t="shared" ref="H16:P16" si="0">SUM(H17:H24)</f>
        <v>#DIV/0!</v>
      </c>
      <c r="I16" s="1061" t="e">
        <f>SUM(I17:I24)</f>
        <v>#DIV/0!</v>
      </c>
      <c r="J16" s="1060" t="e">
        <f t="shared" si="0"/>
        <v>#DIV/0!</v>
      </c>
      <c r="K16" s="1062" t="e">
        <f t="shared" si="0"/>
        <v>#DIV/0!</v>
      </c>
      <c r="L16" s="1063" t="e">
        <f t="shared" si="0"/>
        <v>#DIV/0!</v>
      </c>
      <c r="M16" s="1062" t="e">
        <f t="shared" si="0"/>
        <v>#DIV/0!</v>
      </c>
      <c r="N16" s="1063" t="e">
        <f t="shared" si="0"/>
        <v>#DIV/0!</v>
      </c>
      <c r="O16" s="1062" t="e">
        <f t="shared" si="0"/>
        <v>#DIV/0!</v>
      </c>
      <c r="P16" s="1063" t="e">
        <f t="shared" si="0"/>
        <v>#DIV/0!</v>
      </c>
      <c r="Q16" s="1062">
        <f>SUM(Q20:Q24)</f>
        <v>0</v>
      </c>
      <c r="R16" s="1063" t="e">
        <f>SUM(R20:R24)</f>
        <v>#VALUE!</v>
      </c>
      <c r="S16" s="1064"/>
      <c r="T16" s="1065"/>
      <c r="U16" s="1064"/>
      <c r="V16" s="1065"/>
      <c r="W16" s="8"/>
    </row>
    <row r="17" spans="1:24" x14ac:dyDescent="0.2">
      <c r="A17" s="9"/>
      <c r="B17" s="1066" t="s">
        <v>88</v>
      </c>
      <c r="C17" s="1067" t="s">
        <v>140</v>
      </c>
      <c r="D17" s="1068">
        <f>IF((B2_Kalkulation!L26*B2_Kalkulation!J26)=0,0,(B2_Kalkulation!L26*B2_Kalkulation!J26))</f>
        <v>0</v>
      </c>
      <c r="E17" s="1058" t="e">
        <f>G17+I17+K17+M17+O17</f>
        <v>#DIV/0!</v>
      </c>
      <c r="F17" s="1058">
        <v>1</v>
      </c>
      <c r="G17" s="1069" t="e">
        <f>IF('B2_Allgemeine Angaben'!D7&lt;&gt;"vst",$D17*$F17/B2_Kalkulation!J26*B2_Kalkulation!H14/B2_Kalkulation!I20,'B2_Gesamtkalkulation ab XXX'!$D$17*$F17*KAT!E69)</f>
        <v>#DIV/0!</v>
      </c>
      <c r="H17" s="1070" t="e">
        <f>G17/$H$11</f>
        <v>#DIV/0!</v>
      </c>
      <c r="I17" s="1069" t="e">
        <f>IF('B2_Allgemeine Angaben'!D7&lt;&gt;"vst",$D17*$F17/B2_Kalkulation!J26*B2_Kalkulation!I14/B2_Kalkulation!I21,'B2_Gesamtkalkulation ab XXX'!$D$17*$F17*KAT!E70)</f>
        <v>#DIV/0!</v>
      </c>
      <c r="J17" s="1070" t="e">
        <f>I17/$J$11</f>
        <v>#DIV/0!</v>
      </c>
      <c r="K17" s="1069" t="e">
        <f>IF('B2_Allgemeine Angaben'!D7&lt;&gt;"vst",$D17*$F17/B2_Kalkulation!J26*B2_Kalkulation!J14/B2_Kalkulation!I22,'B2_Gesamtkalkulation ab XXX'!D17*$F17*KAT!E71)</f>
        <v>#DIV/0!</v>
      </c>
      <c r="L17" s="1070" t="e">
        <f t="shared" ref="L17:L24" si="1">K17/$L$11</f>
        <v>#DIV/0!</v>
      </c>
      <c r="M17" s="1069" t="e">
        <f>IF('B2_Allgemeine Angaben'!D7&lt;&gt;"vst",$D17*$F17/B2_Kalkulation!J26*B2_Kalkulation!K14/B2_Kalkulation!I23,'B2_Gesamtkalkulation ab XXX'!$D$17*$F17*KAT!E72)</f>
        <v>#DIV/0!</v>
      </c>
      <c r="N17" s="1070" t="e">
        <f t="shared" ref="N17:N24" si="2">M17/$N$11</f>
        <v>#DIV/0!</v>
      </c>
      <c r="O17" s="1069" t="e">
        <f>IF('B2_Allgemeine Angaben'!D7&lt;&gt;"vst",$D17*$F17/B2_Kalkulation!J26*B2_Kalkulation!L14/B2_Kalkulation!I24,'B2_Gesamtkalkulation ab XXX'!$D$17*$F17*KAT!E73)</f>
        <v>#DIV/0!</v>
      </c>
      <c r="P17" s="1070" t="e">
        <f t="shared" ref="P17:P24" si="3">O17/$P$11</f>
        <v>#DIV/0!</v>
      </c>
      <c r="Q17" s="1071"/>
      <c r="R17" s="1072"/>
      <c r="S17" s="1064"/>
      <c r="T17" s="1065"/>
      <c r="U17" s="1064"/>
      <c r="V17" s="1065"/>
      <c r="W17" s="8"/>
      <c r="X17" s="457"/>
    </row>
    <row r="18" spans="1:24" x14ac:dyDescent="0.2">
      <c r="A18" s="9"/>
      <c r="B18" s="1066" t="s">
        <v>89</v>
      </c>
      <c r="C18" s="1067" t="s">
        <v>141</v>
      </c>
      <c r="D18" s="1068">
        <f>IF((B2_Kalkulation!L27*B2_Kalkulation!J27)=0,0,(B2_Kalkulation!L27*B2_Kalkulation!J27))</f>
        <v>0</v>
      </c>
      <c r="E18" s="1058" t="e">
        <f>G18+I18+K18+M18+O18+Q18</f>
        <v>#VALUE!</v>
      </c>
      <c r="F18" s="1058">
        <v>1</v>
      </c>
      <c r="G18" s="1069" t="e">
        <f>D18*F18/$N$6*$H$11</f>
        <v>#VALUE!</v>
      </c>
      <c r="H18" s="1073" t="e">
        <f>G18/$H$11</f>
        <v>#VALUE!</v>
      </c>
      <c r="I18" s="1074" t="e">
        <f>D18*F18/$N$6*$J$11</f>
        <v>#VALUE!</v>
      </c>
      <c r="J18" s="1073" t="e">
        <f>I18/$J$11</f>
        <v>#VALUE!</v>
      </c>
      <c r="K18" s="1075" t="e">
        <f>D18*F18/$N$6*$L$11</f>
        <v>#VALUE!</v>
      </c>
      <c r="L18" s="1073" t="e">
        <f t="shared" si="1"/>
        <v>#VALUE!</v>
      </c>
      <c r="M18" s="1075" t="e">
        <f>D18*F18/$N$6*$N$11</f>
        <v>#VALUE!</v>
      </c>
      <c r="N18" s="1073" t="e">
        <f t="shared" si="2"/>
        <v>#VALUE!</v>
      </c>
      <c r="O18" s="1075" t="e">
        <f>D18*F18/$N$6*$P$11</f>
        <v>#VALUE!</v>
      </c>
      <c r="P18" s="1073" t="e">
        <f t="shared" si="3"/>
        <v>#VALUE!</v>
      </c>
      <c r="Q18" s="1076"/>
      <c r="R18" s="1065"/>
      <c r="S18" s="1064"/>
      <c r="T18" s="1065"/>
      <c r="U18" s="1064"/>
      <c r="V18" s="1065"/>
      <c r="W18" s="8"/>
    </row>
    <row r="19" spans="1:24" x14ac:dyDescent="0.2">
      <c r="A19" s="9"/>
      <c r="B19" s="1066" t="s">
        <v>90</v>
      </c>
      <c r="C19" s="1067" t="s">
        <v>301</v>
      </c>
      <c r="D19" s="1068">
        <f>IF((B2_Kalkulation!L34*B2_Kalkulation!J34)=0,0,(B2_Kalkulation!L34*B2_Kalkulation!J34))</f>
        <v>0</v>
      </c>
      <c r="E19" s="1058"/>
      <c r="F19" s="1058"/>
      <c r="G19" s="1069"/>
      <c r="H19" s="1077"/>
      <c r="I19" s="1077"/>
      <c r="J19" s="1077"/>
      <c r="K19" s="1077"/>
      <c r="L19" s="1077"/>
      <c r="M19" s="1077"/>
      <c r="N19" s="1077"/>
      <c r="O19" s="1077"/>
      <c r="P19" s="1077"/>
      <c r="Q19" s="1078"/>
      <c r="R19" s="1079"/>
      <c r="S19" s="1079"/>
      <c r="T19" s="1079"/>
      <c r="U19" s="1080">
        <f>D19</f>
        <v>0</v>
      </c>
      <c r="V19" s="1081" t="e">
        <f>U19/$N$8</f>
        <v>#VALUE!</v>
      </c>
      <c r="W19" s="8"/>
      <c r="X19" s="458"/>
    </row>
    <row r="20" spans="1:24" x14ac:dyDescent="0.2">
      <c r="A20" s="9"/>
      <c r="B20" s="1066" t="s">
        <v>91</v>
      </c>
      <c r="C20" s="1067" t="s">
        <v>302</v>
      </c>
      <c r="D20" s="1068">
        <f>IF((B2_Kalkulation!L29*B2_Kalkulation!J29)=0,0,(B2_Kalkulation!L29*B2_Kalkulation!J29))</f>
        <v>0</v>
      </c>
      <c r="E20" s="1058" t="e">
        <f>G20+I20+K20+M20+O20+Q20</f>
        <v>#VALUE!</v>
      </c>
      <c r="F20" s="1058">
        <v>0.5</v>
      </c>
      <c r="G20" s="1069" t="e">
        <f>D20*F20/$N$6*$H$11</f>
        <v>#VALUE!</v>
      </c>
      <c r="H20" s="1082" t="e">
        <f>G20/$H$11</f>
        <v>#VALUE!</v>
      </c>
      <c r="I20" s="1083" t="e">
        <f>D20*F20/$N$6*$J$11</f>
        <v>#VALUE!</v>
      </c>
      <c r="J20" s="1082" t="e">
        <f>I20/$J$11</f>
        <v>#VALUE!</v>
      </c>
      <c r="K20" s="1084" t="e">
        <f>D20*F20/$N$6*$L$11</f>
        <v>#VALUE!</v>
      </c>
      <c r="L20" s="1082" t="e">
        <f>K20/$L$11</f>
        <v>#VALUE!</v>
      </c>
      <c r="M20" s="1084" t="e">
        <f>D20*F20/$N$6*$N$11</f>
        <v>#VALUE!</v>
      </c>
      <c r="N20" s="1082" t="e">
        <f t="shared" si="2"/>
        <v>#VALUE!</v>
      </c>
      <c r="O20" s="1084" t="e">
        <f>D20*F20/$N$6*$P$11</f>
        <v>#VALUE!</v>
      </c>
      <c r="P20" s="1082" t="e">
        <f>O20/$P$11</f>
        <v>#VALUE!</v>
      </c>
      <c r="Q20" s="1084">
        <f>D20*F20</f>
        <v>0</v>
      </c>
      <c r="R20" s="1082" t="e">
        <f>Q20/$N$6</f>
        <v>#VALUE!</v>
      </c>
      <c r="S20" s="1064"/>
      <c r="T20" s="1065"/>
      <c r="U20" s="1064"/>
      <c r="V20" s="1065"/>
      <c r="W20" s="8"/>
    </row>
    <row r="21" spans="1:24" x14ac:dyDescent="0.2">
      <c r="A21" s="9"/>
      <c r="B21" s="1085" t="s">
        <v>92</v>
      </c>
      <c r="C21" s="1067" t="s">
        <v>62</v>
      </c>
      <c r="D21" s="1068">
        <f>IF((B2_Kalkulation!L30*B2_Kalkulation!J30)=0,0,(B2_Kalkulation!L30*B2_Kalkulation!J30))</f>
        <v>0</v>
      </c>
      <c r="E21" s="1058" t="e">
        <f>G21+I21+K21+M21+O21+Q21</f>
        <v>#VALUE!</v>
      </c>
      <c r="F21" s="1058">
        <v>0.5</v>
      </c>
      <c r="G21" s="1069" t="e">
        <f>D21*F21/$N$6*$H$11</f>
        <v>#VALUE!</v>
      </c>
      <c r="H21" s="1070" t="e">
        <f>G21/$H$11</f>
        <v>#VALUE!</v>
      </c>
      <c r="I21" s="1086" t="e">
        <f>D21*F21/$N$6*$J$11</f>
        <v>#VALUE!</v>
      </c>
      <c r="J21" s="1070" t="e">
        <f>I21/$J$11</f>
        <v>#VALUE!</v>
      </c>
      <c r="K21" s="1069" t="e">
        <f>D21*F21/$N$6*$L$11</f>
        <v>#VALUE!</v>
      </c>
      <c r="L21" s="1070" t="e">
        <f>K21/$L$11</f>
        <v>#VALUE!</v>
      </c>
      <c r="M21" s="1069" t="e">
        <f>D21*F21/$N$6*$N$11</f>
        <v>#VALUE!</v>
      </c>
      <c r="N21" s="1070" t="e">
        <f t="shared" si="2"/>
        <v>#VALUE!</v>
      </c>
      <c r="O21" s="1069" t="e">
        <f>D21*F21/$N$6*$P$11</f>
        <v>#VALUE!</v>
      </c>
      <c r="P21" s="1070" t="e">
        <f t="shared" si="3"/>
        <v>#VALUE!</v>
      </c>
      <c r="Q21" s="1069">
        <f>D21*F21</f>
        <v>0</v>
      </c>
      <c r="R21" s="1070" t="e">
        <f t="shared" ref="R21:R24" si="4">Q21/$N$6</f>
        <v>#VALUE!</v>
      </c>
      <c r="S21" s="1064"/>
      <c r="T21" s="1065"/>
      <c r="U21" s="1064"/>
      <c r="V21" s="1065"/>
      <c r="W21" s="8"/>
      <c r="X21" s="459"/>
    </row>
    <row r="22" spans="1:24" x14ac:dyDescent="0.2">
      <c r="A22" s="9"/>
      <c r="B22" s="1066" t="s">
        <v>93</v>
      </c>
      <c r="C22" s="1067" t="s">
        <v>32</v>
      </c>
      <c r="D22" s="1068">
        <f>IF((B2_Kalkulation!L31*B2_Kalkulation!J31)=0,0,(B2_Kalkulation!L31*B2_Kalkulation!J31))</f>
        <v>0</v>
      </c>
      <c r="E22" s="1058" t="e">
        <f>G22+I22+K22+M22+O22+Q22</f>
        <v>#VALUE!</v>
      </c>
      <c r="F22" s="1058">
        <v>0.5</v>
      </c>
      <c r="G22" s="1069" t="e">
        <f>D22*F22/$N$6*$H$11</f>
        <v>#VALUE!</v>
      </c>
      <c r="H22" s="1070" t="e">
        <f>G22/$H$11</f>
        <v>#VALUE!</v>
      </c>
      <c r="I22" s="1086" t="e">
        <f>D22*F22/$N$6*$J$11</f>
        <v>#VALUE!</v>
      </c>
      <c r="J22" s="1070" t="e">
        <f>I22/$J$11</f>
        <v>#VALUE!</v>
      </c>
      <c r="K22" s="1069" t="e">
        <f>D22*F22/$N$6*$L$11</f>
        <v>#VALUE!</v>
      </c>
      <c r="L22" s="1070" t="e">
        <f t="shared" si="1"/>
        <v>#VALUE!</v>
      </c>
      <c r="M22" s="1069" t="e">
        <f>D22*F22/$N$6*$N$11</f>
        <v>#VALUE!</v>
      </c>
      <c r="N22" s="1070" t="e">
        <f t="shared" si="2"/>
        <v>#VALUE!</v>
      </c>
      <c r="O22" s="1069" t="e">
        <f>D22*F22/$N$6*$P$11</f>
        <v>#VALUE!</v>
      </c>
      <c r="P22" s="1070" t="e">
        <f t="shared" si="3"/>
        <v>#VALUE!</v>
      </c>
      <c r="Q22" s="1069">
        <f>D22*F22</f>
        <v>0</v>
      </c>
      <c r="R22" s="1070" t="e">
        <f t="shared" si="4"/>
        <v>#VALUE!</v>
      </c>
      <c r="S22" s="1064"/>
      <c r="T22" s="1065"/>
      <c r="U22" s="1064"/>
      <c r="V22" s="1065"/>
      <c r="W22" s="8"/>
    </row>
    <row r="23" spans="1:24" x14ac:dyDescent="0.2">
      <c r="A23" s="9"/>
      <c r="B23" s="1066" t="s">
        <v>94</v>
      </c>
      <c r="C23" s="1067" t="s">
        <v>33</v>
      </c>
      <c r="D23" s="1068">
        <f>IF((B2_Kalkulation!L32*B2_Kalkulation!J32)=0,0,(B2_Kalkulation!L32*B2_Kalkulation!J32))</f>
        <v>0</v>
      </c>
      <c r="E23" s="1058" t="e">
        <f>G23+I23+K23+M23+O23+Q23</f>
        <v>#VALUE!</v>
      </c>
      <c r="F23" s="1058">
        <v>0.5</v>
      </c>
      <c r="G23" s="1069" t="e">
        <f>D23*F23/$N$6*$H$11</f>
        <v>#VALUE!</v>
      </c>
      <c r="H23" s="1070" t="e">
        <f>G23/$H$11</f>
        <v>#VALUE!</v>
      </c>
      <c r="I23" s="1086" t="e">
        <f>D23*F23/$N$6*$J$11</f>
        <v>#VALUE!</v>
      </c>
      <c r="J23" s="1070" t="e">
        <f>I23/$J$11</f>
        <v>#VALUE!</v>
      </c>
      <c r="K23" s="1069" t="e">
        <f>D23*F23/$N$6*$L$11</f>
        <v>#VALUE!</v>
      </c>
      <c r="L23" s="1070" t="e">
        <f t="shared" si="1"/>
        <v>#VALUE!</v>
      </c>
      <c r="M23" s="1069" t="e">
        <f>D23*F23/$N$6*$N$11</f>
        <v>#VALUE!</v>
      </c>
      <c r="N23" s="1070" t="e">
        <f t="shared" si="2"/>
        <v>#VALUE!</v>
      </c>
      <c r="O23" s="1069" t="e">
        <f>D23*F23/$N$6*$P$11</f>
        <v>#VALUE!</v>
      </c>
      <c r="P23" s="1070" t="e">
        <f t="shared" si="3"/>
        <v>#VALUE!</v>
      </c>
      <c r="Q23" s="1069">
        <f>D23*F23</f>
        <v>0</v>
      </c>
      <c r="R23" s="1070" t="e">
        <f t="shared" si="4"/>
        <v>#VALUE!</v>
      </c>
      <c r="S23" s="1064"/>
      <c r="T23" s="1065"/>
      <c r="U23" s="1064"/>
      <c r="V23" s="1065"/>
      <c r="W23" s="8"/>
    </row>
    <row r="24" spans="1:24" x14ac:dyDescent="0.2">
      <c r="A24" s="9"/>
      <c r="B24" s="1066" t="s">
        <v>104</v>
      </c>
      <c r="C24" s="1087" t="s">
        <v>214</v>
      </c>
      <c r="D24" s="1068">
        <f>B2_Kalkulation!L33*B2_Kalkulation!J33</f>
        <v>0</v>
      </c>
      <c r="E24" s="1058" t="e">
        <f>G24+I24+K24+M24+O24+Q24</f>
        <v>#VALUE!</v>
      </c>
      <c r="F24" s="1058">
        <v>0.5</v>
      </c>
      <c r="G24" s="1069" t="e">
        <f>D24*F24/$N$6*$H$11</f>
        <v>#VALUE!</v>
      </c>
      <c r="H24" s="1070" t="e">
        <f>G24/$H$11</f>
        <v>#VALUE!</v>
      </c>
      <c r="I24" s="1086" t="e">
        <f>D24*F24/$N$6*$J$11</f>
        <v>#VALUE!</v>
      </c>
      <c r="J24" s="1070" t="e">
        <f>I24/$J$11</f>
        <v>#VALUE!</v>
      </c>
      <c r="K24" s="1069" t="e">
        <f>D24*F24/$N$6*$L$11</f>
        <v>#VALUE!</v>
      </c>
      <c r="L24" s="1070" t="e">
        <f t="shared" si="1"/>
        <v>#VALUE!</v>
      </c>
      <c r="M24" s="1069" t="e">
        <f>D24*F24/$N$6*$N$11</f>
        <v>#VALUE!</v>
      </c>
      <c r="N24" s="1070" t="e">
        <f t="shared" si="2"/>
        <v>#VALUE!</v>
      </c>
      <c r="O24" s="1069" t="e">
        <f>D24*F24/$N$6*$P$11</f>
        <v>#VALUE!</v>
      </c>
      <c r="P24" s="1070" t="e">
        <f t="shared" si="3"/>
        <v>#VALUE!</v>
      </c>
      <c r="Q24" s="1069">
        <f>D24*F24</f>
        <v>0</v>
      </c>
      <c r="R24" s="1070" t="e">
        <f t="shared" si="4"/>
        <v>#VALUE!</v>
      </c>
      <c r="S24" s="1064"/>
      <c r="T24" s="1065"/>
      <c r="U24" s="1064"/>
      <c r="V24" s="1065"/>
      <c r="W24" s="8"/>
      <c r="X24" s="460"/>
    </row>
    <row r="25" spans="1:24" x14ac:dyDescent="0.2">
      <c r="A25" s="9"/>
      <c r="B25"/>
      <c r="C25" s="1088"/>
      <c r="D25" s="1089"/>
      <c r="E25" s="1090"/>
      <c r="F25" s="1090"/>
      <c r="G25" s="1080"/>
      <c r="H25" s="1065"/>
      <c r="I25" s="1080"/>
      <c r="J25" s="1065"/>
      <c r="K25" s="1080"/>
      <c r="L25" s="1065"/>
      <c r="M25" s="1080"/>
      <c r="N25" s="1065"/>
      <c r="O25" s="1080"/>
      <c r="P25" s="1065"/>
      <c r="Q25" s="1080"/>
      <c r="R25" s="1065"/>
      <c r="S25" s="1064"/>
      <c r="T25" s="1065"/>
      <c r="U25" s="1064"/>
      <c r="V25" s="1065"/>
      <c r="W25" s="8"/>
    </row>
    <row r="26" spans="1:24" x14ac:dyDescent="0.2">
      <c r="A26" s="9"/>
      <c r="B26" s="1091" t="s">
        <v>31</v>
      </c>
      <c r="C26" s="1055" t="s">
        <v>95</v>
      </c>
      <c r="D26" s="1056">
        <f>SUM(D27:D36)</f>
        <v>0</v>
      </c>
      <c r="E26" s="1058" t="e">
        <f>G26+I26+K26+M26+O26+Q26+S26</f>
        <v>#VALUE!</v>
      </c>
      <c r="F26" s="1058"/>
      <c r="G26" s="1059" t="e">
        <f t="shared" ref="G26:L26" si="5">SUM(G28:G36)</f>
        <v>#VALUE!</v>
      </c>
      <c r="H26" s="1060" t="e">
        <f t="shared" si="5"/>
        <v>#VALUE!</v>
      </c>
      <c r="I26" s="1061" t="e">
        <f t="shared" si="5"/>
        <v>#VALUE!</v>
      </c>
      <c r="J26" s="1060" t="e">
        <f t="shared" si="5"/>
        <v>#VALUE!</v>
      </c>
      <c r="K26" s="1059" t="e">
        <f t="shared" si="5"/>
        <v>#VALUE!</v>
      </c>
      <c r="L26" s="1060" t="e">
        <f t="shared" si="5"/>
        <v>#VALUE!</v>
      </c>
      <c r="M26" s="1059" t="e">
        <f t="shared" ref="M26:P26" si="6">SUM(M28:M36)</f>
        <v>#VALUE!</v>
      </c>
      <c r="N26" s="1060" t="e">
        <f t="shared" si="6"/>
        <v>#VALUE!</v>
      </c>
      <c r="O26" s="1059" t="e">
        <f t="shared" si="6"/>
        <v>#VALUE!</v>
      </c>
      <c r="P26" s="1060" t="e">
        <f t="shared" si="6"/>
        <v>#VALUE!</v>
      </c>
      <c r="Q26" s="1062">
        <f>SUM(Q29:Q36)</f>
        <v>0</v>
      </c>
      <c r="R26" s="1063" t="e">
        <f>SUM(R29:R36)</f>
        <v>#VALUE!</v>
      </c>
      <c r="S26" s="1062">
        <f>SUM(S27:S36)</f>
        <v>0</v>
      </c>
      <c r="T26" s="1063" t="e">
        <f>SUM(T27:T36)</f>
        <v>#VALUE!</v>
      </c>
      <c r="U26" s="1092"/>
      <c r="V26" s="1065"/>
      <c r="W26" s="8"/>
    </row>
    <row r="27" spans="1:24" x14ac:dyDescent="0.2">
      <c r="A27" s="9"/>
      <c r="B27" s="1093" t="s">
        <v>37</v>
      </c>
      <c r="C27" s="1094" t="s">
        <v>38</v>
      </c>
      <c r="D27" s="1068">
        <f>B2_Kalkulation!L37</f>
        <v>0</v>
      </c>
      <c r="E27" s="1086"/>
      <c r="F27" s="1086"/>
      <c r="G27" s="1095"/>
      <c r="H27" s="1077"/>
      <c r="I27" s="1086"/>
      <c r="J27" s="1077"/>
      <c r="K27" s="1086"/>
      <c r="L27" s="1077"/>
      <c r="M27" s="1086"/>
      <c r="N27" s="1077"/>
      <c r="O27" s="1086"/>
      <c r="P27" s="1077"/>
      <c r="Q27" s="1086"/>
      <c r="R27" s="1096"/>
      <c r="S27" s="1069">
        <f>D27</f>
        <v>0</v>
      </c>
      <c r="T27" s="1082" t="e">
        <f>S27/$N$6</f>
        <v>#VALUE!</v>
      </c>
      <c r="U27" s="1080"/>
      <c r="V27" s="1065"/>
      <c r="W27" s="8"/>
    </row>
    <row r="28" spans="1:24" x14ac:dyDescent="0.2">
      <c r="A28" s="9"/>
      <c r="B28" s="1093" t="s">
        <v>39</v>
      </c>
      <c r="C28" s="1094" t="s">
        <v>40</v>
      </c>
      <c r="D28" s="1068">
        <f>B2_Kalkulation!L38</f>
        <v>0</v>
      </c>
      <c r="E28" s="1058" t="e">
        <f>G28+I28+K28+M28+O28+Q28+S28</f>
        <v>#VALUE!</v>
      </c>
      <c r="F28" s="1058">
        <v>1</v>
      </c>
      <c r="G28" s="1069" t="e">
        <f>D28*F28/$N$6*$H$11</f>
        <v>#VALUE!</v>
      </c>
      <c r="H28" s="1070" t="e">
        <f t="shared" ref="H28:H35" si="7">G28/$H$11</f>
        <v>#VALUE!</v>
      </c>
      <c r="I28" s="1086" t="e">
        <f>D28*F28/$N$6*$J$11</f>
        <v>#VALUE!</v>
      </c>
      <c r="J28" s="1070" t="e">
        <f t="shared" ref="J28:J36" si="8">I28/$J$11</f>
        <v>#VALUE!</v>
      </c>
      <c r="K28" s="1069" t="e">
        <f>D28*F28/$N$6*$L$11</f>
        <v>#VALUE!</v>
      </c>
      <c r="L28" s="1070" t="e">
        <f t="shared" ref="L28:L36" si="9">K28/$L$11</f>
        <v>#VALUE!</v>
      </c>
      <c r="M28" s="1069" t="e">
        <f>D28*F28/$N$6*$N$11</f>
        <v>#VALUE!</v>
      </c>
      <c r="N28" s="1070" t="e">
        <f t="shared" ref="N28:N36" si="10">M28/$N$11</f>
        <v>#VALUE!</v>
      </c>
      <c r="O28" s="1069" t="e">
        <f>D28*F28/$N$6*$P$11</f>
        <v>#VALUE!</v>
      </c>
      <c r="P28" s="1070" t="e">
        <f t="shared" ref="P28:P36" si="11">O28/$P$11</f>
        <v>#VALUE!</v>
      </c>
      <c r="Q28" s="1097"/>
      <c r="R28" s="1079"/>
      <c r="S28" s="1098"/>
      <c r="T28" s="1065"/>
      <c r="U28" s="1064"/>
      <c r="V28" s="1065"/>
      <c r="W28" s="8"/>
    </row>
    <row r="29" spans="1:24" x14ac:dyDescent="0.2">
      <c r="A29" s="9"/>
      <c r="B29" s="1093" t="s">
        <v>41</v>
      </c>
      <c r="C29" s="1099" t="s">
        <v>303</v>
      </c>
      <c r="D29" s="1068">
        <f>B2_Kalkulation!L39</f>
        <v>0</v>
      </c>
      <c r="E29" s="1058" t="e">
        <f t="shared" ref="E29:E35" si="12">G29+I29+K29+M29+O29+Q29+S29</f>
        <v>#VALUE!</v>
      </c>
      <c r="F29" s="1058">
        <v>0.5</v>
      </c>
      <c r="G29" s="1069" t="e">
        <f t="shared" ref="G29:G35" si="13">D29*F29/$N$6*$H$11</f>
        <v>#VALUE!</v>
      </c>
      <c r="H29" s="1070" t="e">
        <f t="shared" si="7"/>
        <v>#VALUE!</v>
      </c>
      <c r="I29" s="1086" t="e">
        <f t="shared" ref="I29:I36" si="14">D29*F29/$N$6*$J$11</f>
        <v>#VALUE!</v>
      </c>
      <c r="J29" s="1070" t="e">
        <f t="shared" si="8"/>
        <v>#VALUE!</v>
      </c>
      <c r="K29" s="1069" t="e">
        <f t="shared" ref="K29:K36" si="15">D29*F29/$N$6*$L$11</f>
        <v>#VALUE!</v>
      </c>
      <c r="L29" s="1070" t="e">
        <f t="shared" si="9"/>
        <v>#VALUE!</v>
      </c>
      <c r="M29" s="1069" t="e">
        <f t="shared" ref="M29:M36" si="16">D29*F29/$N$6*$N$11</f>
        <v>#VALUE!</v>
      </c>
      <c r="N29" s="1070" t="e">
        <f t="shared" si="10"/>
        <v>#VALUE!</v>
      </c>
      <c r="O29" s="1069" t="e">
        <f t="shared" ref="O29:O36" si="17">D29*F29/$N$6*$P$11</f>
        <v>#VALUE!</v>
      </c>
      <c r="P29" s="1070" t="e">
        <f t="shared" si="11"/>
        <v>#VALUE!</v>
      </c>
      <c r="Q29" s="1069">
        <f>D29*F29</f>
        <v>0</v>
      </c>
      <c r="R29" s="1070" t="e">
        <f>Q29/$N$6</f>
        <v>#VALUE!</v>
      </c>
      <c r="S29" s="1100"/>
      <c r="T29" s="1065"/>
      <c r="U29" s="1064"/>
      <c r="V29" s="1065"/>
      <c r="W29" s="8"/>
    </row>
    <row r="30" spans="1:24" x14ac:dyDescent="0.2">
      <c r="A30" s="9"/>
      <c r="B30" s="1093" t="s">
        <v>42</v>
      </c>
      <c r="C30" s="1094" t="s">
        <v>43</v>
      </c>
      <c r="D30" s="1068">
        <f>B2_Kalkulation!L40</f>
        <v>0</v>
      </c>
      <c r="E30" s="1058" t="e">
        <f t="shared" si="12"/>
        <v>#VALUE!</v>
      </c>
      <c r="F30" s="1058">
        <v>0.5</v>
      </c>
      <c r="G30" s="1069" t="e">
        <f t="shared" si="13"/>
        <v>#VALUE!</v>
      </c>
      <c r="H30" s="1070" t="e">
        <f t="shared" si="7"/>
        <v>#VALUE!</v>
      </c>
      <c r="I30" s="1086" t="e">
        <f t="shared" si="14"/>
        <v>#VALUE!</v>
      </c>
      <c r="J30" s="1070" t="e">
        <f t="shared" si="8"/>
        <v>#VALUE!</v>
      </c>
      <c r="K30" s="1069" t="e">
        <f t="shared" si="15"/>
        <v>#VALUE!</v>
      </c>
      <c r="L30" s="1070" t="e">
        <f t="shared" si="9"/>
        <v>#VALUE!</v>
      </c>
      <c r="M30" s="1069" t="e">
        <f t="shared" si="16"/>
        <v>#VALUE!</v>
      </c>
      <c r="N30" s="1070" t="e">
        <f t="shared" si="10"/>
        <v>#VALUE!</v>
      </c>
      <c r="O30" s="1069" t="e">
        <f t="shared" si="17"/>
        <v>#VALUE!</v>
      </c>
      <c r="P30" s="1070" t="e">
        <f t="shared" si="11"/>
        <v>#VALUE!</v>
      </c>
      <c r="Q30" s="1069">
        <f>D30*F30</f>
        <v>0</v>
      </c>
      <c r="R30" s="1070" t="e">
        <f t="shared" ref="R30:R36" si="18">Q30/$N$6</f>
        <v>#VALUE!</v>
      </c>
      <c r="S30" s="1100"/>
      <c r="T30" s="1065"/>
      <c r="U30" s="1064"/>
      <c r="V30" s="1065"/>
      <c r="W30" s="8"/>
    </row>
    <row r="31" spans="1:24" x14ac:dyDescent="0.2">
      <c r="A31" s="9"/>
      <c r="B31" s="1093" t="s">
        <v>44</v>
      </c>
      <c r="C31" s="1094" t="s">
        <v>45</v>
      </c>
      <c r="D31" s="1068">
        <f>B2_Kalkulation!L41</f>
        <v>0</v>
      </c>
      <c r="E31" s="1058" t="e">
        <f t="shared" si="12"/>
        <v>#VALUE!</v>
      </c>
      <c r="F31" s="1058">
        <v>0.5</v>
      </c>
      <c r="G31" s="1069" t="e">
        <f t="shared" si="13"/>
        <v>#VALUE!</v>
      </c>
      <c r="H31" s="1070" t="e">
        <f t="shared" si="7"/>
        <v>#VALUE!</v>
      </c>
      <c r="I31" s="1086" t="e">
        <f t="shared" si="14"/>
        <v>#VALUE!</v>
      </c>
      <c r="J31" s="1070" t="e">
        <f t="shared" si="8"/>
        <v>#VALUE!</v>
      </c>
      <c r="K31" s="1069" t="e">
        <f t="shared" si="15"/>
        <v>#VALUE!</v>
      </c>
      <c r="L31" s="1070" t="e">
        <f t="shared" si="9"/>
        <v>#VALUE!</v>
      </c>
      <c r="M31" s="1069" t="e">
        <f t="shared" si="16"/>
        <v>#VALUE!</v>
      </c>
      <c r="N31" s="1070" t="e">
        <f t="shared" si="10"/>
        <v>#VALUE!</v>
      </c>
      <c r="O31" s="1069" t="e">
        <f t="shared" si="17"/>
        <v>#VALUE!</v>
      </c>
      <c r="P31" s="1070" t="e">
        <f t="shared" si="11"/>
        <v>#VALUE!</v>
      </c>
      <c r="Q31" s="1069">
        <f>D31*F31</f>
        <v>0</v>
      </c>
      <c r="R31" s="1070" t="e">
        <f t="shared" si="18"/>
        <v>#VALUE!</v>
      </c>
      <c r="S31" s="1100"/>
      <c r="T31" s="1065"/>
      <c r="U31" s="1064"/>
      <c r="V31" s="1065"/>
      <c r="W31" s="8"/>
    </row>
    <row r="32" spans="1:24" x14ac:dyDescent="0.2">
      <c r="A32" s="9"/>
      <c r="B32" s="1093" t="s">
        <v>46</v>
      </c>
      <c r="C32" s="1094" t="s">
        <v>47</v>
      </c>
      <c r="D32" s="1068">
        <f>B2_Kalkulation!L42</f>
        <v>0</v>
      </c>
      <c r="E32" s="1058" t="e">
        <f t="shared" si="12"/>
        <v>#VALUE!</v>
      </c>
      <c r="F32" s="1058">
        <v>1</v>
      </c>
      <c r="G32" s="1069" t="e">
        <f t="shared" si="13"/>
        <v>#VALUE!</v>
      </c>
      <c r="H32" s="1070" t="e">
        <f t="shared" si="7"/>
        <v>#VALUE!</v>
      </c>
      <c r="I32" s="1086" t="e">
        <f t="shared" si="14"/>
        <v>#VALUE!</v>
      </c>
      <c r="J32" s="1070" t="e">
        <f t="shared" si="8"/>
        <v>#VALUE!</v>
      </c>
      <c r="K32" s="1069" t="e">
        <f t="shared" si="15"/>
        <v>#VALUE!</v>
      </c>
      <c r="L32" s="1070" t="e">
        <f t="shared" si="9"/>
        <v>#VALUE!</v>
      </c>
      <c r="M32" s="1069" t="e">
        <f t="shared" si="16"/>
        <v>#VALUE!</v>
      </c>
      <c r="N32" s="1070" t="e">
        <f t="shared" si="10"/>
        <v>#VALUE!</v>
      </c>
      <c r="O32" s="1069" t="e">
        <f t="shared" si="17"/>
        <v>#VALUE!</v>
      </c>
      <c r="P32" s="1070" t="e">
        <f>O32/$P$11</f>
        <v>#VALUE!</v>
      </c>
      <c r="Q32" s="1097"/>
      <c r="R32" s="1079"/>
      <c r="S32" s="1064"/>
      <c r="T32" s="1065"/>
      <c r="U32" s="1064"/>
      <c r="V32" s="1065"/>
      <c r="W32" s="8"/>
    </row>
    <row r="33" spans="1:25" x14ac:dyDescent="0.2">
      <c r="A33" s="9"/>
      <c r="B33" s="1101" t="s">
        <v>48</v>
      </c>
      <c r="C33" s="1094" t="s">
        <v>49</v>
      </c>
      <c r="D33" s="1068">
        <f>B2_Kalkulation!L43</f>
        <v>0</v>
      </c>
      <c r="E33" s="1058" t="e">
        <f t="shared" si="12"/>
        <v>#VALUE!</v>
      </c>
      <c r="F33" s="1058">
        <v>0.5</v>
      </c>
      <c r="G33" s="1069" t="e">
        <f t="shared" si="13"/>
        <v>#VALUE!</v>
      </c>
      <c r="H33" s="1070" t="e">
        <f t="shared" si="7"/>
        <v>#VALUE!</v>
      </c>
      <c r="I33" s="1086" t="e">
        <f t="shared" si="14"/>
        <v>#VALUE!</v>
      </c>
      <c r="J33" s="1070" t="e">
        <f t="shared" si="8"/>
        <v>#VALUE!</v>
      </c>
      <c r="K33" s="1069" t="e">
        <f t="shared" si="15"/>
        <v>#VALUE!</v>
      </c>
      <c r="L33" s="1070" t="e">
        <f t="shared" si="9"/>
        <v>#VALUE!</v>
      </c>
      <c r="M33" s="1069" t="e">
        <f t="shared" si="16"/>
        <v>#VALUE!</v>
      </c>
      <c r="N33" s="1070" t="e">
        <f t="shared" si="10"/>
        <v>#VALUE!</v>
      </c>
      <c r="O33" s="1069" t="e">
        <f t="shared" si="17"/>
        <v>#VALUE!</v>
      </c>
      <c r="P33" s="1070" t="e">
        <f t="shared" si="11"/>
        <v>#VALUE!</v>
      </c>
      <c r="Q33" s="1069">
        <f>D33*F33</f>
        <v>0</v>
      </c>
      <c r="R33" s="1070" t="e">
        <f t="shared" si="18"/>
        <v>#VALUE!</v>
      </c>
      <c r="S33" s="1100"/>
      <c r="T33" s="1065"/>
      <c r="U33" s="1064"/>
      <c r="V33" s="1065"/>
      <c r="W33" s="8"/>
    </row>
    <row r="34" spans="1:25" x14ac:dyDescent="0.2">
      <c r="A34" s="9"/>
      <c r="B34" s="1101" t="s">
        <v>50</v>
      </c>
      <c r="C34" s="1094" t="s">
        <v>304</v>
      </c>
      <c r="D34" s="1068">
        <f>B2_Kalkulation!L44</f>
        <v>0</v>
      </c>
      <c r="E34" s="1058" t="e">
        <f t="shared" si="12"/>
        <v>#VALUE!</v>
      </c>
      <c r="F34" s="1058">
        <v>0.5</v>
      </c>
      <c r="G34" s="1069" t="e">
        <f t="shared" si="13"/>
        <v>#VALUE!</v>
      </c>
      <c r="H34" s="1070" t="e">
        <f t="shared" si="7"/>
        <v>#VALUE!</v>
      </c>
      <c r="I34" s="1086" t="e">
        <f t="shared" si="14"/>
        <v>#VALUE!</v>
      </c>
      <c r="J34" s="1070" t="e">
        <f t="shared" si="8"/>
        <v>#VALUE!</v>
      </c>
      <c r="K34" s="1069" t="e">
        <f t="shared" si="15"/>
        <v>#VALUE!</v>
      </c>
      <c r="L34" s="1070" t="e">
        <f t="shared" si="9"/>
        <v>#VALUE!</v>
      </c>
      <c r="M34" s="1069" t="e">
        <f t="shared" si="16"/>
        <v>#VALUE!</v>
      </c>
      <c r="N34" s="1070" t="e">
        <f t="shared" si="10"/>
        <v>#VALUE!</v>
      </c>
      <c r="O34" s="1069" t="e">
        <f t="shared" si="17"/>
        <v>#VALUE!</v>
      </c>
      <c r="P34" s="1070" t="e">
        <f t="shared" si="11"/>
        <v>#VALUE!</v>
      </c>
      <c r="Q34" s="1069">
        <f>D34*F34</f>
        <v>0</v>
      </c>
      <c r="R34" s="1070" t="e">
        <f t="shared" si="18"/>
        <v>#VALUE!</v>
      </c>
      <c r="S34" s="1100"/>
      <c r="T34" s="1065"/>
      <c r="U34" s="1064"/>
      <c r="V34" s="1065"/>
      <c r="W34" s="8"/>
    </row>
    <row r="35" spans="1:25" x14ac:dyDescent="0.2">
      <c r="A35" s="9"/>
      <c r="B35" s="1101" t="s">
        <v>52</v>
      </c>
      <c r="C35" s="1102" t="s">
        <v>305</v>
      </c>
      <c r="D35" s="1068">
        <f>B2_Kalkulation!L45</f>
        <v>0</v>
      </c>
      <c r="E35" s="1058" t="e">
        <f t="shared" si="12"/>
        <v>#VALUE!</v>
      </c>
      <c r="F35" s="1058">
        <v>0.5</v>
      </c>
      <c r="G35" s="1069" t="e">
        <f t="shared" si="13"/>
        <v>#VALUE!</v>
      </c>
      <c r="H35" s="1070" t="e">
        <f t="shared" si="7"/>
        <v>#VALUE!</v>
      </c>
      <c r="I35" s="1086" t="e">
        <f t="shared" si="14"/>
        <v>#VALUE!</v>
      </c>
      <c r="J35" s="1070" t="e">
        <f t="shared" si="8"/>
        <v>#VALUE!</v>
      </c>
      <c r="K35" s="1069" t="e">
        <f t="shared" si="15"/>
        <v>#VALUE!</v>
      </c>
      <c r="L35" s="1070" t="e">
        <f t="shared" si="9"/>
        <v>#VALUE!</v>
      </c>
      <c r="M35" s="1069" t="e">
        <f t="shared" si="16"/>
        <v>#VALUE!</v>
      </c>
      <c r="N35" s="1070" t="e">
        <f t="shared" si="10"/>
        <v>#VALUE!</v>
      </c>
      <c r="O35" s="1069" t="e">
        <f t="shared" si="17"/>
        <v>#VALUE!</v>
      </c>
      <c r="P35" s="1070" t="e">
        <f t="shared" si="11"/>
        <v>#VALUE!</v>
      </c>
      <c r="Q35" s="1069">
        <f>D35*F35</f>
        <v>0</v>
      </c>
      <c r="R35" s="1070" t="e">
        <f t="shared" si="18"/>
        <v>#VALUE!</v>
      </c>
      <c r="S35" s="1100"/>
      <c r="T35" s="1065"/>
      <c r="U35" s="1064"/>
      <c r="V35" s="1065"/>
      <c r="W35" s="8"/>
    </row>
    <row r="36" spans="1:25" x14ac:dyDescent="0.2">
      <c r="A36" s="9"/>
      <c r="B36" s="1101" t="s">
        <v>54</v>
      </c>
      <c r="C36" s="1103" t="s">
        <v>55</v>
      </c>
      <c r="D36" s="1068">
        <f>B2_Kalkulation!L46</f>
        <v>0</v>
      </c>
      <c r="E36" s="1057" t="e">
        <f>G36+I36+K36+M36+O36+Q36+S36</f>
        <v>#VALUE!</v>
      </c>
      <c r="F36" s="1058">
        <v>0.5</v>
      </c>
      <c r="G36" s="1069" t="e">
        <f>D36*F36/$N$6*$H$11</f>
        <v>#VALUE!</v>
      </c>
      <c r="H36" s="1070" t="e">
        <f>G36/$H$11</f>
        <v>#VALUE!</v>
      </c>
      <c r="I36" s="1086" t="e">
        <f t="shared" si="14"/>
        <v>#VALUE!</v>
      </c>
      <c r="J36" s="1070" t="e">
        <f t="shared" si="8"/>
        <v>#VALUE!</v>
      </c>
      <c r="K36" s="1069" t="e">
        <f t="shared" si="15"/>
        <v>#VALUE!</v>
      </c>
      <c r="L36" s="1070" t="e">
        <f t="shared" si="9"/>
        <v>#VALUE!</v>
      </c>
      <c r="M36" s="1069" t="e">
        <f t="shared" si="16"/>
        <v>#VALUE!</v>
      </c>
      <c r="N36" s="1070" t="e">
        <f t="shared" si="10"/>
        <v>#VALUE!</v>
      </c>
      <c r="O36" s="1069" t="e">
        <f t="shared" si="17"/>
        <v>#VALUE!</v>
      </c>
      <c r="P36" s="1070" t="e">
        <f t="shared" si="11"/>
        <v>#VALUE!</v>
      </c>
      <c r="Q36" s="1069">
        <f>D36*F36</f>
        <v>0</v>
      </c>
      <c r="R36" s="1070" t="e">
        <f t="shared" si="18"/>
        <v>#VALUE!</v>
      </c>
      <c r="S36" s="1100"/>
      <c r="T36" s="1065"/>
      <c r="U36" s="1064"/>
      <c r="V36" s="1065"/>
      <c r="W36" s="8"/>
    </row>
    <row r="37" spans="1:25" x14ac:dyDescent="0.2">
      <c r="A37" s="9"/>
      <c r="B37"/>
      <c r="C37"/>
      <c r="D37" s="1089"/>
      <c r="E37" s="1090"/>
      <c r="F37" s="1090"/>
      <c r="G37" s="1080"/>
      <c r="H37" s="1065"/>
      <c r="I37" s="1080"/>
      <c r="J37" s="1065"/>
      <c r="K37" s="1080"/>
      <c r="L37" s="1104"/>
      <c r="M37" s="1080"/>
      <c r="N37" s="1104"/>
      <c r="O37" s="1080"/>
      <c r="P37" s="1104"/>
      <c r="Q37" s="1080"/>
      <c r="R37" s="1065"/>
      <c r="S37" s="1064"/>
      <c r="T37" s="1065"/>
      <c r="U37" s="1064"/>
      <c r="V37" s="1065"/>
      <c r="W37" s="8"/>
    </row>
    <row r="38" spans="1:25" x14ac:dyDescent="0.2">
      <c r="A38" s="9"/>
      <c r="B38" s="1105" t="s">
        <v>96</v>
      </c>
      <c r="C38" s="1106" t="s">
        <v>97</v>
      </c>
      <c r="D38" s="1056">
        <f t="shared" ref="D38:Q38" si="19">SUM(D39:D45)</f>
        <v>0</v>
      </c>
      <c r="E38" s="1058" t="e">
        <f>SUM(E39:E45)</f>
        <v>#VALUE!</v>
      </c>
      <c r="F38" s="1058"/>
      <c r="G38" s="1059" t="e">
        <f t="shared" si="19"/>
        <v>#VALUE!</v>
      </c>
      <c r="H38" s="1060" t="e">
        <f t="shared" si="19"/>
        <v>#VALUE!</v>
      </c>
      <c r="I38" s="1061" t="e">
        <f t="shared" si="19"/>
        <v>#VALUE!</v>
      </c>
      <c r="J38" s="1060" t="e">
        <f t="shared" si="19"/>
        <v>#VALUE!</v>
      </c>
      <c r="K38" s="1059" t="e">
        <f t="shared" si="19"/>
        <v>#VALUE!</v>
      </c>
      <c r="L38" s="1060" t="e">
        <f t="shared" si="19"/>
        <v>#VALUE!</v>
      </c>
      <c r="M38" s="1059" t="e">
        <f t="shared" ref="M38:P38" si="20">SUM(M39:M45)</f>
        <v>#VALUE!</v>
      </c>
      <c r="N38" s="1060" t="e">
        <f t="shared" si="20"/>
        <v>#VALUE!</v>
      </c>
      <c r="O38" s="1059" t="e">
        <f t="shared" si="20"/>
        <v>#VALUE!</v>
      </c>
      <c r="P38" s="1060" t="e">
        <f t="shared" si="20"/>
        <v>#VALUE!</v>
      </c>
      <c r="Q38" s="1062">
        <f t="shared" si="19"/>
        <v>0</v>
      </c>
      <c r="R38" s="1063" t="e">
        <f>SUM(R39:R45)</f>
        <v>#VALUE!</v>
      </c>
      <c r="S38" s="1064"/>
      <c r="T38" s="1065"/>
      <c r="U38" s="1064"/>
      <c r="V38" s="1065"/>
      <c r="W38" s="8"/>
    </row>
    <row r="39" spans="1:25" x14ac:dyDescent="0.2">
      <c r="A39" s="9"/>
      <c r="B39" s="1107" t="str">
        <f>B2_Kalkulation!H50</f>
        <v>3.1.</v>
      </c>
      <c r="C39" s="1108" t="s">
        <v>306</v>
      </c>
      <c r="D39" s="1068">
        <f>B2_Kalkulation!L50</f>
        <v>0</v>
      </c>
      <c r="E39" s="1058" t="e">
        <f t="shared" ref="E39:E45" si="21">G39+I39+K39+M39+O39+Q39</f>
        <v>#VALUE!</v>
      </c>
      <c r="F39" s="1058">
        <v>0.5</v>
      </c>
      <c r="G39" s="1069" t="e">
        <f>D39*F39/$N$6*$H$11</f>
        <v>#VALUE!</v>
      </c>
      <c r="H39" s="1070" t="e">
        <f t="shared" ref="H39:H45" si="22">G39/$H$11</f>
        <v>#VALUE!</v>
      </c>
      <c r="I39" s="1086" t="e">
        <f>D39*F39/$N$6*$J$11</f>
        <v>#VALUE!</v>
      </c>
      <c r="J39" s="1070" t="e">
        <f t="shared" ref="J39:J45" si="23">I39/$J$11</f>
        <v>#VALUE!</v>
      </c>
      <c r="K39" s="1069" t="e">
        <f>D39*F39/$N$6*$L$11</f>
        <v>#VALUE!</v>
      </c>
      <c r="L39" s="1070" t="e">
        <f t="shared" ref="L39:L45" si="24">K39/$L$11</f>
        <v>#VALUE!</v>
      </c>
      <c r="M39" s="1069" t="e">
        <f>D39*F39/$N$6*$N$11</f>
        <v>#VALUE!</v>
      </c>
      <c r="N39" s="1070" t="e">
        <f t="shared" ref="N39:N45" si="25">M39/$N$11</f>
        <v>#VALUE!</v>
      </c>
      <c r="O39" s="1069" t="e">
        <f>D39*F39/$N$6*$P$11</f>
        <v>#VALUE!</v>
      </c>
      <c r="P39" s="1070" t="e">
        <f t="shared" ref="P39:P45" si="26">O39/$P$11</f>
        <v>#VALUE!</v>
      </c>
      <c r="Q39" s="1069">
        <f>D39*F39</f>
        <v>0</v>
      </c>
      <c r="R39" s="1070" t="e">
        <f>Q39/$N$6</f>
        <v>#VALUE!</v>
      </c>
      <c r="S39" s="1109"/>
      <c r="T39" s="1110"/>
      <c r="U39" s="1111"/>
      <c r="V39" s="1110"/>
      <c r="W39" s="8"/>
      <c r="X39" s="454"/>
      <c r="Y39" s="454"/>
    </row>
    <row r="40" spans="1:25" x14ac:dyDescent="0.2">
      <c r="A40" s="9"/>
      <c r="B40" s="1107" t="str">
        <f>B2_Kalkulation!H51</f>
        <v>3.2.</v>
      </c>
      <c r="C40" s="1112" t="str">
        <f>B2_Kalkulation!I51</f>
        <v>Wäscherei</v>
      </c>
      <c r="D40" s="1068">
        <f>B2_Kalkulation!L51</f>
        <v>0</v>
      </c>
      <c r="E40" s="1058" t="e">
        <f t="shared" si="21"/>
        <v>#VALUE!</v>
      </c>
      <c r="F40" s="1058">
        <v>0.5</v>
      </c>
      <c r="G40" s="1069" t="e">
        <f t="shared" ref="G40:G45" si="27">D40*F40/$N$6*$H$11</f>
        <v>#VALUE!</v>
      </c>
      <c r="H40" s="1070" t="e">
        <f t="shared" si="22"/>
        <v>#VALUE!</v>
      </c>
      <c r="I40" s="1086" t="e">
        <f t="shared" ref="I40:I45" si="28">D40*F40/$N$6*$J$11</f>
        <v>#VALUE!</v>
      </c>
      <c r="J40" s="1070" t="e">
        <f t="shared" si="23"/>
        <v>#VALUE!</v>
      </c>
      <c r="K40" s="1069" t="e">
        <f t="shared" ref="K40:K45" si="29">D40*F40/$N$6*$L$11</f>
        <v>#VALUE!</v>
      </c>
      <c r="L40" s="1070" t="e">
        <f t="shared" si="24"/>
        <v>#VALUE!</v>
      </c>
      <c r="M40" s="1069" t="e">
        <f t="shared" ref="M40:M45" si="30">D40*F40/$N$6*$N$11</f>
        <v>#VALUE!</v>
      </c>
      <c r="N40" s="1070" t="e">
        <f t="shared" si="25"/>
        <v>#VALUE!</v>
      </c>
      <c r="O40" s="1069" t="e">
        <f t="shared" ref="O40:O45" si="31">D40*F40/$N$6*$P$11</f>
        <v>#VALUE!</v>
      </c>
      <c r="P40" s="1070" t="e">
        <f t="shared" si="26"/>
        <v>#VALUE!</v>
      </c>
      <c r="Q40" s="1069">
        <f t="shared" ref="Q40:Q45" si="32">D40*F40</f>
        <v>0</v>
      </c>
      <c r="R40" s="1070" t="e">
        <f t="shared" ref="R40:R45" si="33">Q40/$N$6</f>
        <v>#VALUE!</v>
      </c>
      <c r="S40" s="1113"/>
      <c r="T40" s="1110"/>
      <c r="U40" s="1111"/>
      <c r="V40" s="1110"/>
      <c r="W40" s="1114"/>
      <c r="X40" s="454"/>
      <c r="Y40" s="454"/>
    </row>
    <row r="41" spans="1:25" x14ac:dyDescent="0.2">
      <c r="A41" s="9"/>
      <c r="B41" s="1107" t="str">
        <f>B2_Kalkulation!H52</f>
        <v>3.3.</v>
      </c>
      <c r="C41" s="1112" t="str">
        <f>B2_Kalkulation!I52</f>
        <v>Wäschekennzeichnung</v>
      </c>
      <c r="D41" s="1068">
        <f>B2_Kalkulation!L52</f>
        <v>0</v>
      </c>
      <c r="E41" s="1057" t="e">
        <f>G41+I41+K41+M41+O41+Q41</f>
        <v>#VALUE!</v>
      </c>
      <c r="F41" s="1058">
        <v>0.5</v>
      </c>
      <c r="G41" s="1069" t="e">
        <f t="shared" si="27"/>
        <v>#VALUE!</v>
      </c>
      <c r="H41" s="1070" t="e">
        <f t="shared" si="22"/>
        <v>#VALUE!</v>
      </c>
      <c r="I41" s="1086" t="e">
        <f t="shared" si="28"/>
        <v>#VALUE!</v>
      </c>
      <c r="J41" s="1070" t="e">
        <f t="shared" si="23"/>
        <v>#VALUE!</v>
      </c>
      <c r="K41" s="1069" t="e">
        <f t="shared" si="29"/>
        <v>#VALUE!</v>
      </c>
      <c r="L41" s="1070" t="e">
        <f t="shared" si="24"/>
        <v>#VALUE!</v>
      </c>
      <c r="M41" s="1069" t="e">
        <f t="shared" si="30"/>
        <v>#VALUE!</v>
      </c>
      <c r="N41" s="1070" t="e">
        <f t="shared" si="25"/>
        <v>#VALUE!</v>
      </c>
      <c r="O41" s="1069" t="e">
        <f t="shared" si="31"/>
        <v>#VALUE!</v>
      </c>
      <c r="P41" s="1070" t="e">
        <f t="shared" si="26"/>
        <v>#VALUE!</v>
      </c>
      <c r="Q41" s="1069">
        <f t="shared" si="32"/>
        <v>0</v>
      </c>
      <c r="R41" s="1070" t="e">
        <f t="shared" si="33"/>
        <v>#VALUE!</v>
      </c>
      <c r="S41" s="1113"/>
      <c r="T41" s="1110"/>
      <c r="U41" s="1111"/>
      <c r="V41" s="1110"/>
      <c r="W41" s="8"/>
    </row>
    <row r="42" spans="1:25" x14ac:dyDescent="0.2">
      <c r="A42" s="9"/>
      <c r="B42" s="1107" t="str">
        <f>B2_Kalkulation!H53</f>
        <v>3.4.</v>
      </c>
      <c r="C42" s="1112" t="str">
        <f>B2_Kalkulation!I53</f>
        <v>Reinigung</v>
      </c>
      <c r="D42" s="1068">
        <f>B2_Kalkulation!L53</f>
        <v>0</v>
      </c>
      <c r="E42" s="1058" t="e">
        <f t="shared" si="21"/>
        <v>#VALUE!</v>
      </c>
      <c r="F42" s="1058">
        <v>0.5</v>
      </c>
      <c r="G42" s="1069" t="e">
        <f t="shared" si="27"/>
        <v>#VALUE!</v>
      </c>
      <c r="H42" s="1070" t="e">
        <f t="shared" si="22"/>
        <v>#VALUE!</v>
      </c>
      <c r="I42" s="1086" t="e">
        <f t="shared" si="28"/>
        <v>#VALUE!</v>
      </c>
      <c r="J42" s="1070" t="e">
        <f t="shared" si="23"/>
        <v>#VALUE!</v>
      </c>
      <c r="K42" s="1069" t="e">
        <f t="shared" si="29"/>
        <v>#VALUE!</v>
      </c>
      <c r="L42" s="1070" t="e">
        <f t="shared" si="24"/>
        <v>#VALUE!</v>
      </c>
      <c r="M42" s="1069" t="e">
        <f t="shared" si="30"/>
        <v>#VALUE!</v>
      </c>
      <c r="N42" s="1070" t="e">
        <f t="shared" si="25"/>
        <v>#VALUE!</v>
      </c>
      <c r="O42" s="1069" t="e">
        <f t="shared" si="31"/>
        <v>#VALUE!</v>
      </c>
      <c r="P42" s="1070" t="e">
        <f t="shared" si="26"/>
        <v>#VALUE!</v>
      </c>
      <c r="Q42" s="1069">
        <f t="shared" si="32"/>
        <v>0</v>
      </c>
      <c r="R42" s="1070" t="e">
        <f t="shared" si="33"/>
        <v>#VALUE!</v>
      </c>
      <c r="S42" s="1115"/>
      <c r="T42" s="1116"/>
      <c r="U42" s="1117"/>
      <c r="V42" s="1116"/>
      <c r="W42" s="8"/>
      <c r="X42" s="456"/>
    </row>
    <row r="43" spans="1:25" x14ac:dyDescent="0.2">
      <c r="A43" s="9"/>
      <c r="B43" s="1107" t="str">
        <f>B2_Kalkulation!H54</f>
        <v>3.5.</v>
      </c>
      <c r="C43" s="1112" t="str">
        <f>B2_Kalkulation!I54</f>
        <v>Verwaltung</v>
      </c>
      <c r="D43" s="1068">
        <f>B2_Kalkulation!L54</f>
        <v>0</v>
      </c>
      <c r="E43" s="1058" t="e">
        <f t="shared" si="21"/>
        <v>#VALUE!</v>
      </c>
      <c r="F43" s="1058">
        <v>0.5</v>
      </c>
      <c r="G43" s="1069" t="e">
        <f t="shared" si="27"/>
        <v>#VALUE!</v>
      </c>
      <c r="H43" s="1070" t="e">
        <f t="shared" si="22"/>
        <v>#VALUE!</v>
      </c>
      <c r="I43" s="1086" t="e">
        <f t="shared" si="28"/>
        <v>#VALUE!</v>
      </c>
      <c r="J43" s="1070" t="e">
        <f t="shared" si="23"/>
        <v>#VALUE!</v>
      </c>
      <c r="K43" s="1069" t="e">
        <f t="shared" si="29"/>
        <v>#VALUE!</v>
      </c>
      <c r="L43" s="1070" t="e">
        <f t="shared" si="24"/>
        <v>#VALUE!</v>
      </c>
      <c r="M43" s="1069" t="e">
        <f t="shared" si="30"/>
        <v>#VALUE!</v>
      </c>
      <c r="N43" s="1070" t="e">
        <f t="shared" si="25"/>
        <v>#VALUE!</v>
      </c>
      <c r="O43" s="1069" t="e">
        <f t="shared" si="31"/>
        <v>#VALUE!</v>
      </c>
      <c r="P43" s="1070" t="e">
        <f t="shared" si="26"/>
        <v>#VALUE!</v>
      </c>
      <c r="Q43" s="1069">
        <f t="shared" si="32"/>
        <v>0</v>
      </c>
      <c r="R43" s="1070" t="e">
        <f t="shared" si="33"/>
        <v>#VALUE!</v>
      </c>
      <c r="S43" s="1064"/>
      <c r="T43" s="1065"/>
      <c r="U43" s="1064"/>
      <c r="V43" s="1065"/>
      <c r="W43" s="8"/>
    </row>
    <row r="44" spans="1:25" x14ac:dyDescent="0.2">
      <c r="A44" s="9"/>
      <c r="B44" s="1107" t="str">
        <f>B2_Kalkulation!H55</f>
        <v>3.6.</v>
      </c>
      <c r="C44" s="1112" t="str">
        <f>B2_Kalkulation!I55</f>
        <v>Haustechnik</v>
      </c>
      <c r="D44" s="1068">
        <f>B2_Kalkulation!L55</f>
        <v>0</v>
      </c>
      <c r="E44" s="1058" t="e">
        <f t="shared" si="21"/>
        <v>#VALUE!</v>
      </c>
      <c r="F44" s="1058">
        <v>0.5</v>
      </c>
      <c r="G44" s="1069" t="e">
        <f t="shared" si="27"/>
        <v>#VALUE!</v>
      </c>
      <c r="H44" s="1070" t="e">
        <f t="shared" si="22"/>
        <v>#VALUE!</v>
      </c>
      <c r="I44" s="1086" t="e">
        <f t="shared" si="28"/>
        <v>#VALUE!</v>
      </c>
      <c r="J44" s="1070" t="e">
        <f t="shared" si="23"/>
        <v>#VALUE!</v>
      </c>
      <c r="K44" s="1069" t="e">
        <f t="shared" si="29"/>
        <v>#VALUE!</v>
      </c>
      <c r="L44" s="1070" t="e">
        <f t="shared" si="24"/>
        <v>#VALUE!</v>
      </c>
      <c r="M44" s="1069" t="e">
        <f t="shared" si="30"/>
        <v>#VALUE!</v>
      </c>
      <c r="N44" s="1070" t="e">
        <f t="shared" si="25"/>
        <v>#VALUE!</v>
      </c>
      <c r="O44" s="1069" t="e">
        <f t="shared" si="31"/>
        <v>#VALUE!</v>
      </c>
      <c r="P44" s="1070" t="e">
        <f t="shared" si="26"/>
        <v>#VALUE!</v>
      </c>
      <c r="Q44" s="1069">
        <f t="shared" si="32"/>
        <v>0</v>
      </c>
      <c r="R44" s="1070" t="e">
        <f t="shared" si="33"/>
        <v>#VALUE!</v>
      </c>
      <c r="S44" s="1064"/>
      <c r="T44" s="1065"/>
      <c r="U44" s="1064"/>
      <c r="V44" s="1065"/>
      <c r="W44" s="8"/>
      <c r="X44" s="450"/>
    </row>
    <row r="45" spans="1:25" x14ac:dyDescent="0.2">
      <c r="A45" s="9"/>
      <c r="B45" s="1107" t="str">
        <f>B2_Kalkulation!H56</f>
        <v>3.7.</v>
      </c>
      <c r="C45" s="1112" t="str">
        <f>B2_Kalkulation!I56</f>
        <v>sonstiges</v>
      </c>
      <c r="D45" s="1068">
        <f>B2_Kalkulation!L56</f>
        <v>0</v>
      </c>
      <c r="E45" s="1058" t="e">
        <f t="shared" si="21"/>
        <v>#VALUE!</v>
      </c>
      <c r="F45" s="1058">
        <v>0.5</v>
      </c>
      <c r="G45" s="1069" t="e">
        <f t="shared" si="27"/>
        <v>#VALUE!</v>
      </c>
      <c r="H45" s="1070" t="e">
        <f t="shared" si="22"/>
        <v>#VALUE!</v>
      </c>
      <c r="I45" s="1086" t="e">
        <f t="shared" si="28"/>
        <v>#VALUE!</v>
      </c>
      <c r="J45" s="1070" t="e">
        <f t="shared" si="23"/>
        <v>#VALUE!</v>
      </c>
      <c r="K45" s="1069" t="e">
        <f t="shared" si="29"/>
        <v>#VALUE!</v>
      </c>
      <c r="L45" s="1070" t="e">
        <f t="shared" si="24"/>
        <v>#VALUE!</v>
      </c>
      <c r="M45" s="1069" t="e">
        <f t="shared" si="30"/>
        <v>#VALUE!</v>
      </c>
      <c r="N45" s="1070" t="e">
        <f t="shared" si="25"/>
        <v>#VALUE!</v>
      </c>
      <c r="O45" s="1069" t="e">
        <f t="shared" si="31"/>
        <v>#VALUE!</v>
      </c>
      <c r="P45" s="1070" t="e">
        <f t="shared" si="26"/>
        <v>#VALUE!</v>
      </c>
      <c r="Q45" s="1069">
        <f t="shared" si="32"/>
        <v>0</v>
      </c>
      <c r="R45" s="1070" t="e">
        <f t="shared" si="33"/>
        <v>#VALUE!</v>
      </c>
      <c r="S45" s="1064"/>
      <c r="T45" s="1065"/>
      <c r="U45" s="1064"/>
      <c r="V45" s="1065"/>
      <c r="W45" s="8"/>
      <c r="X45" s="461"/>
    </row>
    <row r="46" spans="1:25" x14ac:dyDescent="0.2">
      <c r="A46" s="9"/>
      <c r="B46"/>
      <c r="C46"/>
      <c r="D46" s="1118"/>
      <c r="E46" s="1064"/>
      <c r="F46" s="1064"/>
      <c r="G46" s="1119"/>
      <c r="H46" s="1120"/>
      <c r="I46" s="1121"/>
      <c r="J46" s="1120"/>
      <c r="K46" s="1122"/>
      <c r="L46" s="1123"/>
      <c r="M46" s="1119"/>
      <c r="N46" s="1123"/>
      <c r="O46" s="1119"/>
      <c r="P46" s="1123"/>
      <c r="Q46" s="1080"/>
      <c r="R46" s="1065"/>
      <c r="S46" s="1064"/>
      <c r="T46" s="1065"/>
      <c r="U46" s="1064"/>
      <c r="V46" s="1065"/>
      <c r="W46" s="8"/>
      <c r="X46" s="461"/>
    </row>
    <row r="47" spans="1:25" x14ac:dyDescent="0.2">
      <c r="A47" s="9"/>
      <c r="B47" s="1124"/>
      <c r="C47" s="1053" t="str">
        <f>IF('B2_Allgemeine Angaben'!D7&lt;&gt;"vst","errechnete Aufwendungen:","errechnete Aufwendungen nach Pflegegrad 2 bis 5:")</f>
        <v>errechnete Aufwendungen:</v>
      </c>
      <c r="D47" s="1068">
        <f>I47+K47+M47+O47</f>
        <v>0</v>
      </c>
      <c r="E47" s="1058" t="e">
        <f>D38+D26+D16-Q16-Q26-Q38-S26-G47</f>
        <v>#VALUE!</v>
      </c>
      <c r="F47" s="1058"/>
      <c r="G47" s="1125" t="e">
        <f>H47*H11</f>
        <v>#VALUE!</v>
      </c>
      <c r="H47" s="1126">
        <f>IF(B2_Kalkulation!H14=0,ROUND('B2_Gesamtkalkulation ab XXX'!J51*0.78,2),ROUND(('B2_Gesamtkalkulation ab XXX'!H16+'B2_Gesamtkalkulation ab XXX'!H26+'B2_Gesamtkalkulation ab XXX'!H38),2))</f>
        <v>0</v>
      </c>
      <c r="I47" s="1127">
        <f>IFERROR(J47*J11,0)</f>
        <v>0</v>
      </c>
      <c r="J47" s="1128" t="str">
        <f>IF(ISERROR(J38+J26+J16),"",(J38+J26+J16))</f>
        <v/>
      </c>
      <c r="K47" s="1127">
        <f>IFERROR(L47*L11,0)</f>
        <v>0</v>
      </c>
      <c r="L47" s="1128" t="str">
        <f>IF(ISERROR(L38+L26+L16),"",((L38+L26+L16)))</f>
        <v/>
      </c>
      <c r="M47" s="1127">
        <f>IFERROR(N47*N11,0)</f>
        <v>0</v>
      </c>
      <c r="N47" s="1128" t="str">
        <f>IF(ISERROR(N38+N26+N16),"",(N38+N26+N16))</f>
        <v/>
      </c>
      <c r="O47" s="1127">
        <f>IFERROR(P47*P11,0)</f>
        <v>0</v>
      </c>
      <c r="P47" s="1128" t="str">
        <f>IF(ISERROR(P38+P26+P16),"",(P38+P26+P16))</f>
        <v/>
      </c>
      <c r="Q47" s="1129"/>
      <c r="R47" s="1065"/>
      <c r="S47" s="1130"/>
      <c r="T47" s="1065"/>
      <c r="U47" s="1064"/>
      <c r="V47" s="1065"/>
      <c r="W47" s="8"/>
      <c r="X47" s="460"/>
    </row>
    <row r="48" spans="1:25" x14ac:dyDescent="0.2">
      <c r="A48" s="9"/>
      <c r="B48" s="1124"/>
      <c r="C48" s="1053" t="s">
        <v>98</v>
      </c>
      <c r="D48" s="1068" t="str">
        <f>IF('B2_Allgemeine Angaben'!D7="vst",(((J12*J10)+(L12*L10)+(N12*N10)+(P12*P10))*12)*$L$6/100,"")</f>
        <v/>
      </c>
      <c r="E48" s="1058" t="str">
        <f>IF('B2_Allgemeine Angaben'!D7="vst",I48+K48+M48+O48,"")</f>
        <v/>
      </c>
      <c r="F48" s="1058"/>
      <c r="G48" s="1069"/>
      <c r="H48" s="1070"/>
      <c r="I48" s="1127" t="str">
        <f>IF('B2_Allgemeine Angaben'!D7="vst",J12/($P$6)*J11,"")</f>
        <v/>
      </c>
      <c r="J48" s="1128" t="str">
        <f>IF('B2_Allgemeine Angaben'!D7="vst",I48/J11,"")</f>
        <v/>
      </c>
      <c r="K48" s="1127" t="str">
        <f>IF('B2_Allgemeine Angaben'!D7="vst",L12/($P$6)*L11,"")</f>
        <v/>
      </c>
      <c r="L48" s="1128" t="str">
        <f>IF('B2_Allgemeine Angaben'!D7="vst",K48/L11,"")</f>
        <v/>
      </c>
      <c r="M48" s="1127" t="str">
        <f>IF('B2_Allgemeine Angaben'!D7="vst",N12/($P$6)*N11,"")</f>
        <v/>
      </c>
      <c r="N48" s="1128" t="str">
        <f>IF('B2_Allgemeine Angaben'!D7="vst",M48/N11,"")</f>
        <v/>
      </c>
      <c r="O48" s="1127" t="str">
        <f>IF('B2_Allgemeine Angaben'!D7="vst",P12/($P$6)*P11,"")</f>
        <v/>
      </c>
      <c r="P48" s="1128" t="str">
        <f>IF('B2_Allgemeine Angaben'!D7="vst",O48/P11,"")</f>
        <v/>
      </c>
      <c r="Q48" s="1129"/>
      <c r="R48" s="1065"/>
      <c r="S48" s="1130"/>
      <c r="T48" s="1131"/>
      <c r="U48" s="1132"/>
      <c r="V48" s="1131"/>
      <c r="W48" s="8"/>
      <c r="X48" s="462"/>
    </row>
    <row r="49" spans="1:25" x14ac:dyDescent="0.2">
      <c r="A49" s="9"/>
      <c r="B49" s="1124"/>
      <c r="C49" s="1053" t="s">
        <v>99</v>
      </c>
      <c r="D49" s="1068" t="str">
        <f>IF('B2_Allgemeine Angaben'!D7="vst",D47-D48,"")</f>
        <v/>
      </c>
      <c r="E49" s="1058" t="str">
        <f>IF('B2_Allgemeine Angaben'!D7="vst",I49+K49+M49+O49,"")</f>
        <v/>
      </c>
      <c r="F49" s="1058"/>
      <c r="G49" s="1069"/>
      <c r="H49" s="1070"/>
      <c r="I49" s="1127" t="str">
        <f>IF('B2_Allgemeine Angaben'!D7="vst",(I47-I48),"")</f>
        <v/>
      </c>
      <c r="J49" s="1128" t="str">
        <f>IF('B2_Allgemeine Angaben'!$D$7="vst",ROUND($D$49/eeadivisor,2),"")</f>
        <v/>
      </c>
      <c r="K49" s="1127" t="str">
        <f>IF('B2_Allgemeine Angaben'!D7="vst",(K47-K48),"")</f>
        <v/>
      </c>
      <c r="L49" s="1128" t="str">
        <f>IF('B2_Allgemeine Angaben'!$D$7="vst",ROUND($D$49/eeadivisor,2),"")</f>
        <v/>
      </c>
      <c r="M49" s="1127" t="str">
        <f>IF('B2_Allgemeine Angaben'!D7="vst",(M47-M48),"")</f>
        <v/>
      </c>
      <c r="N49" s="1128" t="str">
        <f>IF('B2_Allgemeine Angaben'!$D$7="vst",ROUND($D$49/eeadivisor,2),"")</f>
        <v/>
      </c>
      <c r="O49" s="1127" t="str">
        <f>IF('B2_Allgemeine Angaben'!D7="vst",(O47-O48),"")</f>
        <v/>
      </c>
      <c r="P49" s="1128" t="str">
        <f>IF('B2_Allgemeine Angaben'!$D$7="vst",ROUND($D$49/eeadivisor,2),"")</f>
        <v/>
      </c>
      <c r="Q49" s="1129"/>
      <c r="R49" s="1133" t="s">
        <v>103</v>
      </c>
      <c r="S49" s="1130"/>
      <c r="T49" s="1131"/>
      <c r="U49" s="1132"/>
      <c r="V49" s="1131"/>
      <c r="W49" s="8"/>
    </row>
    <row r="50" spans="1:25" ht="15" thickBot="1" x14ac:dyDescent="0.25">
      <c r="A50" s="9"/>
      <c r="B50"/>
      <c r="C50"/>
      <c r="D50"/>
      <c r="E50"/>
      <c r="F50"/>
      <c r="G50" s="1029"/>
      <c r="H50" s="1134"/>
      <c r="I50" s="1135"/>
      <c r="J50" s="1136"/>
      <c r="K50" s="1135"/>
      <c r="L50" s="1136"/>
      <c r="M50" s="1135"/>
      <c r="N50" s="1136"/>
      <c r="O50" s="1135"/>
      <c r="P50" s="1136"/>
      <c r="Q50" s="1135"/>
      <c r="R50"/>
      <c r="S50" s="1025"/>
      <c r="T50" s="1134"/>
      <c r="U50" s="1135"/>
      <c r="V50" s="1134"/>
      <c r="W50" s="8"/>
    </row>
    <row r="51" spans="1:25" ht="15" thickBot="1" x14ac:dyDescent="0.25">
      <c r="A51" s="9"/>
      <c r="B51"/>
      <c r="C51"/>
      <c r="D51" s="640" t="s">
        <v>100</v>
      </c>
      <c r="E51"/>
      <c r="F51" s="1032"/>
      <c r="G51" s="640" t="s">
        <v>63</v>
      </c>
      <c r="H51" s="1137">
        <f>IF(ISERROR(H47),"",H47)</f>
        <v>0</v>
      </c>
      <c r="I51" s="640" t="s">
        <v>64</v>
      </c>
      <c r="J51" s="1137">
        <f>IF('B2_Allgemeine Angaben'!D7="vst",ROUND(J12/$P$6+J49,2),IF('B2_Allgemeine Angaben'!D7&lt;&gt;"vst",KAT!H32))</f>
        <v>0</v>
      </c>
      <c r="K51" s="640" t="s">
        <v>65</v>
      </c>
      <c r="L51" s="1137">
        <f>IF('B2_Allgemeine Angaben'!D7="vst",ROUND(L12/$P$6+L49,2),IF('B2_Allgemeine Angaben'!D7&lt;&gt;"vst",KAT!H33))</f>
        <v>0</v>
      </c>
      <c r="M51" s="640" t="s">
        <v>66</v>
      </c>
      <c r="N51" s="1137">
        <f>IF('B2_Allgemeine Angaben'!D7="vst",ROUND(N12/$P$6+N49,2),IF('B2_Allgemeine Angaben'!D7&lt;&gt;"vst",KAT!H34))</f>
        <v>0</v>
      </c>
      <c r="O51" s="640" t="s">
        <v>67</v>
      </c>
      <c r="P51" s="1137">
        <f>IF('B2_Allgemeine Angaben'!D7="vst",ROUND(P12/$P$6+P49,2),IF('B2_Allgemeine Angaben'!D7&lt;&gt;"vst",KAT!H35))</f>
        <v>0</v>
      </c>
      <c r="Q51" s="640" t="s">
        <v>101</v>
      </c>
      <c r="R51" s="1137" t="e">
        <f>ROUND(R38+R26+R16,2)</f>
        <v>#VALUE!</v>
      </c>
      <c r="S51" s="1138" t="s">
        <v>102</v>
      </c>
      <c r="T51" s="1137" t="e">
        <f>ROUND(T26,2)</f>
        <v>#VALUE!</v>
      </c>
      <c r="U51" s="1139" t="s">
        <v>152</v>
      </c>
      <c r="V51" s="1137" t="e">
        <f>IF('B2_Allgemeine Angaben'!D7="vst",V19-0.03,V19)</f>
        <v>#VALUE!</v>
      </c>
      <c r="W51" s="8"/>
      <c r="X51" s="6"/>
      <c r="Y51" s="448"/>
    </row>
    <row r="52" spans="1:25" ht="15.75" customHeight="1" x14ac:dyDescent="0.2">
      <c r="A52" s="9"/>
      <c r="B52"/>
      <c r="C52"/>
      <c r="D52" s="640"/>
      <c r="E52" s="1134"/>
      <c r="F52" s="1134"/>
      <c r="G52" s="41"/>
      <c r="H52" s="1134"/>
      <c r="I52" s="1021"/>
      <c r="J52" s="1021"/>
      <c r="K52" s="1021"/>
      <c r="L52" s="1021"/>
      <c r="M52" s="1021"/>
      <c r="N52" s="1134"/>
      <c r="O52" s="1134"/>
      <c r="P52" s="1134"/>
      <c r="Q52" s="1134"/>
      <c r="R52" s="1134"/>
      <c r="S52" s="1134"/>
      <c r="T52" s="1134"/>
      <c r="U52" s="1134"/>
      <c r="V52" s="1134"/>
      <c r="W52" s="8"/>
      <c r="X52" s="463"/>
      <c r="Y52" s="464"/>
    </row>
    <row r="53" spans="1:25" x14ac:dyDescent="0.2">
      <c r="A53" s="9"/>
      <c r="B53" s="1140" t="str">
        <f>IF('B2_Allgemeine Angaben'!L48&gt;0,"errechnete Pflegesätze (Tag je Platz) für angebundene / integrierte KZP:","")</f>
        <v/>
      </c>
      <c r="C53"/>
      <c r="D53"/>
      <c r="E53"/>
      <c r="F53"/>
      <c r="G53" s="640" t="str">
        <f>IF('B2_Allgemeine Angaben'!$L$48&gt;0,'B2_Gesamtkalkulation ab XXX'!G51,"")</f>
        <v/>
      </c>
      <c r="H53" s="1141">
        <f>IFERROR(IF(B2_Kalkulation!H14&gt;0,'B2_Gesamtkalkulation ab XXX'!H47*0.96/0.8,J53*0.78),0)</f>
        <v>0</v>
      </c>
      <c r="I53" s="640" t="str">
        <f>IF('B2_Allgemeine Angaben'!$L$48&gt;0,'B2_Gesamtkalkulation ab XXX'!I51,"")</f>
        <v/>
      </c>
      <c r="J53" s="1141" t="str">
        <f>IFERROR(IF('B2_Allgemeine Angaben'!$L$48&gt;0,'B2_Gesamtkalkulation ab XXX'!J47*0.96/0.8,""),0)</f>
        <v/>
      </c>
      <c r="K53" s="640" t="str">
        <f>IF('B2_Allgemeine Angaben'!$L$48&gt;0,'B2_Gesamtkalkulation ab XXX'!K51,"")</f>
        <v/>
      </c>
      <c r="L53" s="1141" t="str">
        <f>IFERROR(IF('B2_Allgemeine Angaben'!$L$48&gt;0,'B2_Gesamtkalkulation ab XXX'!L47*0.96/0.8,""),0)</f>
        <v/>
      </c>
      <c r="M53" s="640" t="str">
        <f>IF('B2_Allgemeine Angaben'!$L$48&gt;0,'B2_Gesamtkalkulation ab XXX'!M51,"")</f>
        <v/>
      </c>
      <c r="N53" s="1141" t="str">
        <f>IFERROR(IF('B2_Allgemeine Angaben'!$L$48&gt;0,'B2_Gesamtkalkulation ab XXX'!N47*0.96/0.8,""),0)</f>
        <v/>
      </c>
      <c r="O53" s="640" t="str">
        <f>IF('B2_Allgemeine Angaben'!$L$48&gt;0,'B2_Gesamtkalkulation ab XXX'!O51,"")</f>
        <v/>
      </c>
      <c r="P53" s="1141" t="str">
        <f>IFERROR(IF('B2_Allgemeine Angaben'!$L$48&gt;0,'B2_Gesamtkalkulation ab XXX'!P47*0.96/0.8,""),0)</f>
        <v/>
      </c>
      <c r="Q53" s="640" t="str">
        <f>IF('B2_Allgemeine Angaben'!$L$48&gt;0,'B2_Gesamtkalkulation ab XXX'!Q51,"")</f>
        <v/>
      </c>
      <c r="R53" s="1141" t="str">
        <f>IFERROR(IF('B2_Allgemeine Angaben'!$L$48&gt;0,'B2_Gesamtkalkulation ab XXX'!R51*0.96/0.8,""),0)</f>
        <v/>
      </c>
      <c r="S53" s="640" t="str">
        <f>IF('B2_Allgemeine Angaben'!$L$48&gt;0,'B2_Gesamtkalkulation ab XXX'!S51,"")</f>
        <v/>
      </c>
      <c r="T53" s="1141" t="str">
        <f>IFERROR(IF('B2_Allgemeine Angaben'!$L$48&gt;0,'B2_Gesamtkalkulation ab XXX'!T51*0.96/0.8,""),0)</f>
        <v/>
      </c>
      <c r="U53"/>
      <c r="V53" s="1141" t="str">
        <f>IFERROR(IF('B2_Allgemeine Angaben'!$L$48&gt;0,'B2_Gesamtkalkulation ab XXX'!V51+0.03,""),0)</f>
        <v/>
      </c>
      <c r="W53" s="8"/>
      <c r="Y53" s="464"/>
    </row>
    <row r="54" spans="1:25" x14ac:dyDescent="0.2">
      <c r="A54" s="143"/>
      <c r="B54" s="54"/>
      <c r="C54" s="1142"/>
      <c r="D54" s="54"/>
      <c r="E54" s="54"/>
      <c r="F54" s="54"/>
      <c r="G54" s="1143"/>
      <c r="H54" s="54"/>
      <c r="I54" s="1143"/>
      <c r="J54" s="54"/>
      <c r="K54" s="1143"/>
      <c r="L54" s="1144"/>
      <c r="M54" s="1143"/>
      <c r="N54" s="1144"/>
      <c r="O54" s="1143"/>
      <c r="P54" s="1144"/>
      <c r="Q54" s="1143"/>
      <c r="R54" s="54"/>
      <c r="S54" s="1143"/>
      <c r="T54" s="54"/>
      <c r="U54" s="54"/>
      <c r="V54" s="54"/>
      <c r="W54" s="1015"/>
      <c r="Y54" s="464"/>
    </row>
    <row r="55" spans="1:25" ht="15" thickBot="1" x14ac:dyDescent="0.25">
      <c r="C55" s="3"/>
      <c r="G55" s="4"/>
      <c r="I55" s="4"/>
      <c r="K55" s="4"/>
      <c r="L55" s="6"/>
      <c r="M55" s="4"/>
      <c r="N55" s="6"/>
      <c r="O55" s="4"/>
      <c r="P55" s="6"/>
      <c r="Q55" s="4"/>
      <c r="S55" s="4"/>
      <c r="Y55" s="464"/>
    </row>
    <row r="56" spans="1:25" ht="15" thickBot="1" x14ac:dyDescent="0.25">
      <c r="D56" s="465"/>
      <c r="E56" s="466"/>
      <c r="F56" s="466"/>
      <c r="G56" s="466"/>
      <c r="H56" s="1832" t="s">
        <v>105</v>
      </c>
      <c r="I56" s="1833"/>
      <c r="J56" s="1833"/>
      <c r="K56" s="1833"/>
      <c r="L56" s="1833"/>
      <c r="M56" s="1833"/>
      <c r="N56" s="1834"/>
      <c r="O56" s="467"/>
      <c r="X56" s="468"/>
    </row>
    <row r="57" spans="1:25" x14ac:dyDescent="0.2">
      <c r="X57" s="458"/>
    </row>
    <row r="58" spans="1:25" hidden="1" x14ac:dyDescent="0.2">
      <c r="H58" s="469" t="s">
        <v>249</v>
      </c>
    </row>
    <row r="59" spans="1:25" x14ac:dyDescent="0.2">
      <c r="X59" s="458"/>
    </row>
  </sheetData>
  <mergeCells count="5">
    <mergeCell ref="A1:W1"/>
    <mergeCell ref="A2:W2"/>
    <mergeCell ref="A3:W3"/>
    <mergeCell ref="A4:W4"/>
    <mergeCell ref="H56:N56"/>
  </mergeCells>
  <conditionalFormatting sqref="D24:D36">
    <cfRule type="cellIs" dxfId="46" priority="23" operator="between">
      <formula>0</formula>
      <formula>0</formula>
    </cfRule>
  </conditionalFormatting>
  <conditionalFormatting sqref="D38:D45">
    <cfRule type="cellIs" dxfId="45" priority="22" operator="between">
      <formula>0</formula>
      <formula>0</formula>
    </cfRule>
  </conditionalFormatting>
  <conditionalFormatting sqref="D47">
    <cfRule type="cellIs" dxfId="44" priority="27" operator="between">
      <formula>0</formula>
      <formula>0</formula>
    </cfRule>
  </conditionalFormatting>
  <conditionalFormatting sqref="D16:W52">
    <cfRule type="containsErrors" dxfId="43" priority="33">
      <formula>ISERROR(D16)</formula>
    </cfRule>
  </conditionalFormatting>
  <conditionalFormatting sqref="G53:G55">
    <cfRule type="containsErrors" dxfId="42" priority="21">
      <formula>ISERROR(G53)</formula>
    </cfRule>
  </conditionalFormatting>
  <conditionalFormatting sqref="H47">
    <cfRule type="expression" dxfId="41" priority="28">
      <formula>$I$47=0</formula>
    </cfRule>
  </conditionalFormatting>
  <conditionalFormatting sqref="H10:P10">
    <cfRule type="cellIs" dxfId="39" priority="25" operator="between">
      <formula>0</formula>
      <formula>0</formula>
    </cfRule>
  </conditionalFormatting>
  <conditionalFormatting sqref="I53:I55">
    <cfRule type="containsErrors" dxfId="38" priority="15">
      <formula>ISERROR(I53)</formula>
    </cfRule>
  </conditionalFormatting>
  <conditionalFormatting sqref="K53:K55">
    <cfRule type="containsErrors" dxfId="36" priority="20">
      <formula>ISERROR(K53)</formula>
    </cfRule>
  </conditionalFormatting>
  <conditionalFormatting sqref="L51">
    <cfRule type="containsText" dxfId="35" priority="24" operator="containsText" text="FALSCH">
      <formula>NOT(ISERROR(SEARCH("FALSCH",L51)))</formula>
    </cfRule>
  </conditionalFormatting>
  <conditionalFormatting sqref="M53:M55">
    <cfRule type="containsErrors" dxfId="33" priority="19">
      <formula>ISERROR(M53)</formula>
    </cfRule>
  </conditionalFormatting>
  <conditionalFormatting sqref="N6">
    <cfRule type="cellIs" dxfId="32" priority="26" operator="between">
      <formula>0</formula>
      <formula>0</formula>
    </cfRule>
  </conditionalFormatting>
  <conditionalFormatting sqref="N51">
    <cfRule type="containsText" dxfId="31" priority="5" operator="containsText" text="FALSCH">
      <formula>NOT(ISERROR(SEARCH("FALSCH",N51)))</formula>
    </cfRule>
  </conditionalFormatting>
  <conditionalFormatting sqref="O53:O55">
    <cfRule type="containsErrors" dxfId="29" priority="18">
      <formula>ISERROR(O53)</formula>
    </cfRule>
  </conditionalFormatting>
  <conditionalFormatting sqref="P51">
    <cfRule type="containsText" dxfId="28" priority="4" operator="containsText" text="FALSCH">
      <formula>NOT(ISERROR(SEARCH("FALSCH",P51)))</formula>
    </cfRule>
  </conditionalFormatting>
  <conditionalFormatting sqref="Q53:Q55">
    <cfRule type="containsErrors" dxfId="26" priority="17">
      <formula>ISERROR(Q53)</formula>
    </cfRule>
  </conditionalFormatting>
  <conditionalFormatting sqref="R51">
    <cfRule type="containsText" dxfId="23" priority="3" operator="containsText" text="FALSCH">
      <formula>NOT(ISERROR(SEARCH("FALSCH",R51)))</formula>
    </cfRule>
  </conditionalFormatting>
  <conditionalFormatting sqref="S53:S55">
    <cfRule type="containsErrors" dxfId="21" priority="16">
      <formula>ISERROR(S53)</formula>
    </cfRule>
  </conditionalFormatting>
  <conditionalFormatting sqref="T51">
    <cfRule type="containsText" dxfId="20" priority="2" operator="containsText" text="FALSCH">
      <formula>NOT(ISERROR(SEARCH("FALSCH",T51)))</formula>
    </cfRule>
  </conditionalFormatting>
  <conditionalFormatting sqref="Y52:Y55">
    <cfRule type="containsErrors" dxfId="17" priority="8">
      <formula>ISERROR(Y52)</formula>
    </cfRule>
  </conditionalFormatting>
  <hyperlinks>
    <hyperlink ref="H56" location="'Anlage 1'!A1" display="Anlage 1" xr:uid="{00000000-0004-0000-0500-000000000000}"/>
    <hyperlink ref="H56:N56" location="Bewohnervertretung!A1" display="gehe weiter zu Bewohnervertretung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63" orientation="landscape"/>
  <headerFooter>
    <oddHeader>&amp;C&amp;9Seite 4 Gesamtkalkulation</oddHeader>
    <oddFooter>&amp;L&amp;8Version: 05.09.2024&amp;C&amp;8Verhandlungsunterlagen SGB XI (vereinfacht B2)_x000D_&amp;1#&amp;"Calibri"&amp;10&amp;K000000 öffentlich&amp;R&amp;8PSK-Beschluss vom 26.08.2024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1C06D4C-B841-45F9-BBCB-E8D7A8FB7C86}">
            <xm:f>'B2_Allgemeine Angaben'!$D$7&lt;&gt;"vst"</xm:f>
            <x14:dxf>
              <font>
                <color theme="0" tint="-4.9989318521683403E-2"/>
              </font>
              <fill>
                <patternFill>
                  <bgColor theme="0" tint="-4.9989318521683403E-2"/>
                </patternFill>
              </fill>
            </x14:dxf>
          </x14:cfRule>
          <xm:sqref>B41:C41</xm:sqref>
        </x14:conditionalFormatting>
        <x14:conditionalFormatting xmlns:xm="http://schemas.microsoft.com/office/excel/2006/main">
          <x14:cfRule type="expression" priority="30" id="{058D0EC0-4334-42AD-A7D4-A7EC937ED75E}">
            <xm:f>'B2_Allgemeine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14:cfRule type="expression" priority="29" id="{2883E5CD-7649-4B57-99F6-5131CB2D76F3}">
            <xm:f>'B2_Allgemeine Angaben'!$D$7="kzp"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C12:P12 B48:P48 B49:R49</xm:sqref>
        </x14:conditionalFormatting>
        <x14:conditionalFormatting xmlns:xm="http://schemas.microsoft.com/office/excel/2006/main">
          <x14:cfRule type="expression" priority="7" id="{CD8A191D-875B-4C36-A106-E381471C6106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H53</xm:sqref>
        </x14:conditionalFormatting>
        <x14:conditionalFormatting xmlns:xm="http://schemas.microsoft.com/office/excel/2006/main">
          <x14:cfRule type="expression" priority="6" id="{31CC4E03-A1AD-4115-91AA-565B941F47D3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J53</xm:sqref>
        </x14:conditionalFormatting>
        <x14:conditionalFormatting xmlns:xm="http://schemas.microsoft.com/office/excel/2006/main">
          <x14:cfRule type="expression" priority="9" id="{BC645499-317E-4334-8FE1-A7381F8FA409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L53</xm:sqref>
        </x14:conditionalFormatting>
        <x14:conditionalFormatting xmlns:xm="http://schemas.microsoft.com/office/excel/2006/main">
          <x14:cfRule type="expression" priority="14" id="{A9754EDB-3186-48F9-8799-7140184A66E2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N53</xm:sqref>
        </x14:conditionalFormatting>
        <x14:conditionalFormatting xmlns:xm="http://schemas.microsoft.com/office/excel/2006/main">
          <x14:cfRule type="expression" priority="13" id="{EE4337D3-A835-4D4F-8981-D35ACF60BE6A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P53</xm:sqref>
        </x14:conditionalFormatting>
        <x14:conditionalFormatting xmlns:xm="http://schemas.microsoft.com/office/excel/2006/main">
          <x14:cfRule type="expression" priority="32" id="{B26EA310-D4DF-4388-996A-50E7219A557F}">
            <xm:f>'B2_Allgemeine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R49 H56:P56</xm:sqref>
        </x14:conditionalFormatting>
        <x14:conditionalFormatting xmlns:xm="http://schemas.microsoft.com/office/excel/2006/main">
          <x14:cfRule type="expression" priority="31" id="{31A70F86-069C-41F7-A5F0-FFFAEA5E151E}">
            <xm:f>'B2_Allgemeine Angaben'!$D$7="kzp"</xm:f>
            <x14:dxf>
              <font>
                <color theme="0"/>
              </font>
            </x14:dxf>
          </x14:cfRule>
          <xm:sqref>R49</xm:sqref>
        </x14:conditionalFormatting>
        <x14:conditionalFormatting xmlns:xm="http://schemas.microsoft.com/office/excel/2006/main">
          <x14:cfRule type="expression" priority="12" id="{CA3A3430-A08C-4C12-BEAF-23063DFC4BCC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R53</xm:sqref>
        </x14:conditionalFormatting>
        <x14:conditionalFormatting xmlns:xm="http://schemas.microsoft.com/office/excel/2006/main">
          <x14:cfRule type="expression" priority="11" id="{A17423A7-0225-480C-A8AA-61A24D01521C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T53</xm:sqref>
        </x14:conditionalFormatting>
        <x14:conditionalFormatting xmlns:xm="http://schemas.microsoft.com/office/excel/2006/main">
          <x14:cfRule type="expression" priority="10" id="{AE21BF70-D101-4F72-8792-1585BA485865}">
            <xm:f>'B2_Allgemeine Angaben'!$L$48&gt;0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V53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Q64"/>
  <sheetViews>
    <sheetView showGridLines="0" zoomScaleNormal="100" workbookViewId="0">
      <selection activeCell="A4" sqref="A4:N4"/>
    </sheetView>
  </sheetViews>
  <sheetFormatPr baseColWidth="10" defaultRowHeight="14.25" x14ac:dyDescent="0.2"/>
  <cols>
    <col min="1" max="2" width="3.625" style="17" customWidth="1"/>
    <col min="3" max="3" width="3.25" style="17" customWidth="1"/>
    <col min="4" max="4" width="3.125" style="17" customWidth="1"/>
    <col min="5" max="5" width="3.5" style="17" customWidth="1"/>
    <col min="6" max="6" width="11" style="17"/>
    <col min="7" max="7" width="3.125" style="17" customWidth="1"/>
    <col min="8" max="8" width="3.5" style="17" customWidth="1"/>
    <col min="9" max="9" width="11" style="17"/>
    <col min="10" max="10" width="11.875" style="17" customWidth="1"/>
    <col min="11" max="11" width="3.125" style="17" customWidth="1"/>
    <col min="12" max="12" width="17.75" style="17" customWidth="1"/>
    <col min="13" max="13" width="18.875" style="17" customWidth="1"/>
    <col min="14" max="14" width="4" style="17" customWidth="1"/>
  </cols>
  <sheetData>
    <row r="1" spans="1:17" ht="15.75" x14ac:dyDescent="0.25">
      <c r="A1" s="1849" t="s">
        <v>106</v>
      </c>
      <c r="B1" s="1850"/>
      <c r="C1" s="1850"/>
      <c r="D1" s="1850"/>
      <c r="E1" s="1850"/>
      <c r="F1" s="1850"/>
      <c r="G1" s="1850"/>
      <c r="H1" s="1850"/>
      <c r="I1" s="1850"/>
      <c r="J1" s="1850"/>
      <c r="K1" s="1850"/>
      <c r="L1" s="1850"/>
      <c r="M1" s="1850"/>
      <c r="N1" s="1851"/>
      <c r="O1" s="88"/>
    </row>
    <row r="2" spans="1:17" ht="15" x14ac:dyDescent="0.2">
      <c r="A2" s="1852" t="s">
        <v>151</v>
      </c>
      <c r="B2" s="1853"/>
      <c r="C2" s="1853"/>
      <c r="D2" s="1853"/>
      <c r="E2" s="1853"/>
      <c r="F2" s="1853"/>
      <c r="G2" s="1853"/>
      <c r="H2" s="1853"/>
      <c r="I2" s="1853"/>
      <c r="J2" s="1853"/>
      <c r="K2" s="1853"/>
      <c r="L2" s="1853"/>
      <c r="M2" s="1853"/>
      <c r="N2" s="1854"/>
      <c r="O2" s="5"/>
    </row>
    <row r="3" spans="1:17" ht="15.75" x14ac:dyDescent="0.25">
      <c r="A3" s="1855" t="str">
        <f>'B2_Allgemeine Angaben'!A3:N3</f>
        <v/>
      </c>
      <c r="B3" s="1856"/>
      <c r="C3" s="1856"/>
      <c r="D3" s="1856"/>
      <c r="E3" s="1856"/>
      <c r="F3" s="1856"/>
      <c r="G3" s="1856"/>
      <c r="H3" s="1856"/>
      <c r="I3" s="1856"/>
      <c r="J3" s="1856"/>
      <c r="K3" s="1856"/>
      <c r="L3" s="1856"/>
      <c r="M3" s="1856"/>
      <c r="N3" s="1857"/>
    </row>
    <row r="4" spans="1:17" ht="15.75" x14ac:dyDescent="0.25">
      <c r="A4" s="1855" t="str">
        <f>'B2_Allgemeine Angaben'!A4:N4</f>
        <v/>
      </c>
      <c r="B4" s="1856"/>
      <c r="C4" s="1856"/>
      <c r="D4" s="1856"/>
      <c r="E4" s="1856"/>
      <c r="F4" s="1856"/>
      <c r="G4" s="1856"/>
      <c r="H4" s="1856"/>
      <c r="I4" s="1856"/>
      <c r="J4" s="1856"/>
      <c r="K4" s="1856"/>
      <c r="L4" s="1856"/>
      <c r="M4" s="1856"/>
      <c r="N4" s="1857"/>
      <c r="O4" s="1"/>
      <c r="Q4" s="5"/>
    </row>
    <row r="5" spans="1:17" ht="16.5" thickBot="1" x14ac:dyDescent="0.3">
      <c r="A5" s="15"/>
      <c r="B5" s="16"/>
      <c r="N5" s="18"/>
      <c r="O5" s="17"/>
      <c r="Q5" s="5"/>
    </row>
    <row r="6" spans="1:17" s="45" customFormat="1" ht="16.5" thickBot="1" x14ac:dyDescent="0.3">
      <c r="A6" s="43"/>
      <c r="B6" s="1858" t="s">
        <v>107</v>
      </c>
      <c r="C6" s="1858"/>
      <c r="D6" s="1858"/>
      <c r="E6" s="1858"/>
      <c r="F6" s="1858"/>
      <c r="G6" s="1859"/>
      <c r="H6" s="44"/>
      <c r="J6" s="16"/>
      <c r="K6" s="44"/>
      <c r="L6" s="1860" t="s">
        <v>108</v>
      </c>
      <c r="M6" s="1858"/>
      <c r="N6" s="46"/>
      <c r="Q6" s="56"/>
    </row>
    <row r="7" spans="1:17" ht="14.25" customHeight="1" x14ac:dyDescent="0.2">
      <c r="A7" s="15"/>
      <c r="N7" s="18"/>
      <c r="O7" s="17"/>
    </row>
    <row r="8" spans="1:17" ht="27" customHeight="1" x14ac:dyDescent="0.2">
      <c r="A8" s="15"/>
      <c r="B8" s="1844" t="s">
        <v>166</v>
      </c>
      <c r="C8" s="1844"/>
      <c r="D8" s="1844"/>
      <c r="E8" s="1844"/>
      <c r="F8" s="1844"/>
      <c r="G8" s="1844"/>
      <c r="H8" s="1844"/>
      <c r="I8" s="1844"/>
      <c r="J8" s="1844"/>
      <c r="K8" s="1844"/>
      <c r="L8" s="1844"/>
      <c r="M8" s="1844"/>
      <c r="N8" s="18"/>
      <c r="O8" s="17"/>
    </row>
    <row r="9" spans="1:17" ht="15.75" x14ac:dyDescent="0.25">
      <c r="A9" s="15"/>
      <c r="B9" s="19"/>
      <c r="N9" s="18"/>
      <c r="O9" s="17"/>
      <c r="Q9" s="20"/>
    </row>
    <row r="10" spans="1:17" s="45" customFormat="1" ht="15" x14ac:dyDescent="0.2">
      <c r="A10" s="47"/>
      <c r="B10" s="48" t="s">
        <v>109</v>
      </c>
      <c r="C10" s="48" t="s">
        <v>110</v>
      </c>
      <c r="D10" s="48"/>
      <c r="E10" s="48"/>
      <c r="F10" s="48"/>
      <c r="G10" s="48"/>
      <c r="I10" s="48"/>
      <c r="J10" s="48"/>
      <c r="N10" s="49"/>
    </row>
    <row r="11" spans="1:17" ht="12.75" customHeight="1" thickBot="1" x14ac:dyDescent="0.3">
      <c r="A11" s="15"/>
      <c r="B11" s="19"/>
      <c r="N11" s="18"/>
      <c r="O11" s="17"/>
    </row>
    <row r="12" spans="1:17" ht="16.5" thickBot="1" x14ac:dyDescent="0.3">
      <c r="A12" s="15"/>
      <c r="D12" s="50"/>
      <c r="F12" s="16" t="s">
        <v>111</v>
      </c>
      <c r="G12" s="20"/>
      <c r="H12" s="20"/>
      <c r="I12" s="20"/>
      <c r="N12" s="18"/>
      <c r="O12" s="17"/>
    </row>
    <row r="13" spans="1:17" ht="15" x14ac:dyDescent="0.2">
      <c r="A13" s="15"/>
      <c r="F13" s="48" t="s">
        <v>112</v>
      </c>
      <c r="G13" s="21"/>
      <c r="H13" s="21"/>
      <c r="I13" s="21"/>
      <c r="J13" s="21"/>
      <c r="K13" s="21"/>
      <c r="N13" s="18"/>
      <c r="O13" s="17"/>
    </row>
    <row r="14" spans="1:17" ht="12.75" customHeight="1" thickBot="1" x14ac:dyDescent="0.25">
      <c r="A14" s="15"/>
      <c r="F14" s="21"/>
      <c r="G14" s="21"/>
      <c r="H14" s="21"/>
      <c r="I14" s="21"/>
      <c r="J14" s="21"/>
      <c r="K14" s="21"/>
      <c r="N14" s="18"/>
      <c r="O14" s="17"/>
    </row>
    <row r="15" spans="1:17" ht="16.5" thickBot="1" x14ac:dyDescent="0.3">
      <c r="A15" s="15"/>
      <c r="D15" s="50"/>
      <c r="F15" s="16" t="s">
        <v>113</v>
      </c>
      <c r="G15" s="20"/>
      <c r="H15" s="20"/>
      <c r="I15" s="20"/>
      <c r="N15" s="18"/>
      <c r="O15" s="17"/>
    </row>
    <row r="16" spans="1:17" ht="15" x14ac:dyDescent="0.2">
      <c r="A16" s="15"/>
      <c r="F16" s="48" t="s">
        <v>114</v>
      </c>
      <c r="N16" s="18"/>
      <c r="O16" s="17"/>
    </row>
    <row r="17" spans="1:15" x14ac:dyDescent="0.2">
      <c r="A17" s="15"/>
      <c r="F17" s="21"/>
      <c r="N17" s="18"/>
      <c r="O17" s="17"/>
    </row>
    <row r="18" spans="1:15" s="45" customFormat="1" ht="15" x14ac:dyDescent="0.2">
      <c r="A18" s="47"/>
      <c r="B18" s="48" t="s">
        <v>115</v>
      </c>
      <c r="C18" s="48" t="s">
        <v>116</v>
      </c>
      <c r="D18" s="48"/>
      <c r="E18" s="48"/>
      <c r="F18" s="48"/>
      <c r="G18" s="48"/>
      <c r="H18" s="48"/>
      <c r="I18" s="48"/>
      <c r="J18" s="48"/>
      <c r="L18" s="48"/>
      <c r="M18" s="48"/>
      <c r="N18" s="51"/>
    </row>
    <row r="19" spans="1:15" ht="12.75" customHeight="1" thickBot="1" x14ac:dyDescent="0.25">
      <c r="A19" s="1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2"/>
      <c r="O19" s="17"/>
    </row>
    <row r="20" spans="1:15" ht="15" thickBot="1" x14ac:dyDescent="0.25">
      <c r="A20" s="15"/>
      <c r="C20" s="20"/>
      <c r="D20" s="52"/>
      <c r="E20" s="7"/>
      <c r="F20" s="1845" t="s">
        <v>117</v>
      </c>
      <c r="G20" s="1845"/>
      <c r="H20" s="1845"/>
      <c r="I20" s="1845"/>
      <c r="J20" s="1845"/>
      <c r="K20" s="1845"/>
      <c r="L20" s="1845"/>
      <c r="M20" s="40"/>
      <c r="N20" s="38"/>
      <c r="O20" s="17"/>
    </row>
    <row r="21" spans="1:15" x14ac:dyDescent="0.2">
      <c r="A21" s="15"/>
      <c r="C21" s="20"/>
      <c r="D21" s="7"/>
      <c r="E21" s="7"/>
      <c r="F21" s="53" t="s">
        <v>167</v>
      </c>
      <c r="G21" s="53"/>
      <c r="H21" s="53"/>
      <c r="I21" s="53"/>
      <c r="J21" s="53"/>
      <c r="K21" s="53"/>
      <c r="L21" s="53"/>
      <c r="M21" s="40"/>
      <c r="N21" s="38"/>
      <c r="O21" s="89"/>
    </row>
    <row r="22" spans="1:15" x14ac:dyDescent="0.2">
      <c r="A22" s="15"/>
      <c r="C22" s="20"/>
      <c r="D22" s="7"/>
      <c r="E22" s="7"/>
      <c r="F22" s="1845"/>
      <c r="G22" s="1845"/>
      <c r="H22" s="1845"/>
      <c r="I22" s="1845"/>
      <c r="J22" s="1845"/>
      <c r="K22" s="1845"/>
      <c r="L22" s="1845"/>
      <c r="M22" s="40"/>
      <c r="N22" s="38"/>
      <c r="O22" s="17"/>
    </row>
    <row r="23" spans="1:15" ht="12.75" customHeight="1" thickBot="1" x14ac:dyDescent="0.25">
      <c r="A23" s="15"/>
      <c r="C23" s="20"/>
      <c r="D23" s="7"/>
      <c r="E23" s="7"/>
      <c r="F23" s="7"/>
      <c r="G23" s="7"/>
      <c r="H23" s="7"/>
      <c r="I23" s="7"/>
      <c r="J23" s="7"/>
      <c r="K23" s="7"/>
      <c r="L23" s="7"/>
      <c r="M23" s="7"/>
      <c r="N23" s="24"/>
      <c r="O23" s="17"/>
    </row>
    <row r="24" spans="1:15" ht="15" thickBot="1" x14ac:dyDescent="0.25">
      <c r="A24" s="15"/>
      <c r="C24" s="20"/>
      <c r="D24" s="52"/>
      <c r="E24" s="7"/>
      <c r="F24" s="1581" t="s">
        <v>118</v>
      </c>
      <c r="G24" s="1581"/>
      <c r="H24" s="1581"/>
      <c r="I24" s="1581"/>
      <c r="J24" s="1581"/>
      <c r="K24" s="1581"/>
      <c r="L24" s="1581"/>
      <c r="M24" s="41"/>
      <c r="N24" s="39"/>
      <c r="O24" s="23"/>
    </row>
    <row r="25" spans="1:15" x14ac:dyDescent="0.2">
      <c r="A25" s="15"/>
      <c r="C25" s="20"/>
      <c r="D25" s="7"/>
      <c r="E25" s="7"/>
      <c r="F25" s="7" t="s">
        <v>168</v>
      </c>
      <c r="G25" s="7"/>
      <c r="H25" s="7"/>
      <c r="I25" s="7"/>
      <c r="J25" s="7"/>
      <c r="K25" s="7"/>
      <c r="L25" s="7"/>
      <c r="M25" s="41"/>
      <c r="N25" s="39"/>
      <c r="O25" s="17"/>
    </row>
    <row r="26" spans="1:15" x14ac:dyDescent="0.2">
      <c r="A26" s="15"/>
      <c r="C26" s="20"/>
      <c r="D26" s="7"/>
      <c r="E26" s="7"/>
      <c r="F26" s="1581"/>
      <c r="G26" s="1581"/>
      <c r="H26" s="1581"/>
      <c r="I26" s="1581"/>
      <c r="J26" s="1581"/>
      <c r="K26" s="1581"/>
      <c r="L26" s="1581"/>
      <c r="M26" s="41"/>
      <c r="N26" s="39"/>
      <c r="O26" s="17"/>
    </row>
    <row r="27" spans="1:15" ht="14.85" customHeight="1" x14ac:dyDescent="0.2">
      <c r="A27" s="25"/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 s="17"/>
    </row>
    <row r="28" spans="1:15" ht="14.85" customHeight="1" x14ac:dyDescent="0.2">
      <c r="A28" s="15"/>
      <c r="C28" s="20"/>
      <c r="D28" s="7"/>
      <c r="E28" s="7"/>
      <c r="F28" s="7"/>
      <c r="G28" s="7"/>
      <c r="H28" s="7"/>
      <c r="I28" s="7"/>
      <c r="J28" s="7"/>
      <c r="K28" s="7"/>
      <c r="L28" s="7"/>
      <c r="M28" s="7"/>
      <c r="N28" s="24"/>
      <c r="O28" s="17"/>
    </row>
    <row r="29" spans="1:15" s="45" customFormat="1" ht="15" x14ac:dyDescent="0.2">
      <c r="A29" s="47"/>
      <c r="B29" s="48" t="s">
        <v>119</v>
      </c>
      <c r="C29" s="48" t="s">
        <v>120</v>
      </c>
      <c r="D29" s="48"/>
      <c r="E29" s="48"/>
      <c r="F29" s="48"/>
      <c r="G29" s="48"/>
      <c r="H29" s="48"/>
      <c r="I29" s="48"/>
      <c r="J29" s="48"/>
      <c r="L29" s="48"/>
      <c r="M29" s="48"/>
      <c r="N29" s="51"/>
    </row>
    <row r="30" spans="1:15" ht="12.75" customHeight="1" x14ac:dyDescent="0.2">
      <c r="A30" s="15"/>
      <c r="C30" s="20"/>
      <c r="D30" s="7"/>
      <c r="E30" s="7"/>
      <c r="F30" s="7"/>
      <c r="G30" s="7"/>
      <c r="H30" s="7"/>
      <c r="I30" s="7"/>
      <c r="J30" s="7"/>
      <c r="K30" s="7"/>
      <c r="L30" s="7"/>
      <c r="M30" s="7"/>
      <c r="N30" s="24"/>
      <c r="O30" s="17"/>
    </row>
    <row r="31" spans="1:15" x14ac:dyDescent="0.2">
      <c r="A31" s="15"/>
      <c r="B31" t="s">
        <v>146</v>
      </c>
      <c r="N31" s="18"/>
      <c r="O31" s="17"/>
    </row>
    <row r="32" spans="1:15" x14ac:dyDescent="0.2">
      <c r="A32" s="15"/>
      <c r="B32" s="20" t="s">
        <v>147</v>
      </c>
      <c r="N32" s="18"/>
      <c r="O32" s="17"/>
    </row>
    <row r="33" spans="1:15" x14ac:dyDescent="0.2">
      <c r="A33" s="15"/>
      <c r="B33" s="20" t="s">
        <v>148</v>
      </c>
      <c r="N33" s="18"/>
      <c r="O33" s="17"/>
    </row>
    <row r="34" spans="1:15" x14ac:dyDescent="0.2">
      <c r="A34" s="15"/>
      <c r="B34" s="20" t="s">
        <v>149</v>
      </c>
      <c r="N34" s="18"/>
      <c r="O34" s="17"/>
    </row>
    <row r="35" spans="1:15" x14ac:dyDescent="0.2">
      <c r="A35" s="15"/>
      <c r="B35" s="20" t="s">
        <v>150</v>
      </c>
      <c r="N35" s="18"/>
      <c r="O35" s="17"/>
    </row>
    <row r="36" spans="1:15" x14ac:dyDescent="0.2">
      <c r="A36" s="15"/>
      <c r="B36"/>
      <c r="N36" s="18"/>
      <c r="O36" s="17"/>
    </row>
    <row r="37" spans="1:15" x14ac:dyDescent="0.2">
      <c r="A37" s="15"/>
      <c r="B37" s="20" t="s">
        <v>121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8"/>
      <c r="O37" s="17"/>
    </row>
    <row r="38" spans="1:15" x14ac:dyDescent="0.2">
      <c r="A38" s="15"/>
      <c r="B38" s="1846"/>
      <c r="C38" s="1847"/>
      <c r="D38" s="1847"/>
      <c r="E38" s="1847"/>
      <c r="F38" s="1847"/>
      <c r="G38" s="1847"/>
      <c r="H38" s="1847"/>
      <c r="I38" s="1847"/>
      <c r="J38" s="1847"/>
      <c r="K38" s="1847"/>
      <c r="L38" s="1847"/>
      <c r="M38" s="1847"/>
      <c r="N38" s="18"/>
      <c r="O38" s="1"/>
    </row>
    <row r="39" spans="1:15" x14ac:dyDescent="0.2">
      <c r="A39" s="15"/>
      <c r="B39" s="1847"/>
      <c r="C39" s="1847"/>
      <c r="D39" s="1847"/>
      <c r="E39" s="1847"/>
      <c r="F39" s="1847"/>
      <c r="G39" s="1847"/>
      <c r="H39" s="1847"/>
      <c r="I39" s="1847"/>
      <c r="J39" s="1847"/>
      <c r="K39" s="1847"/>
      <c r="L39" s="1847"/>
      <c r="M39" s="1847"/>
      <c r="N39" s="18"/>
      <c r="O39" s="17"/>
    </row>
    <row r="40" spans="1:15" x14ac:dyDescent="0.2">
      <c r="A40" s="15"/>
      <c r="B40" s="1847"/>
      <c r="C40" s="1847"/>
      <c r="D40" s="1847"/>
      <c r="E40" s="1847"/>
      <c r="F40" s="1847"/>
      <c r="G40" s="1847"/>
      <c r="H40" s="1847"/>
      <c r="I40" s="1847"/>
      <c r="J40" s="1847"/>
      <c r="K40" s="1847"/>
      <c r="L40" s="1847"/>
      <c r="M40" s="1847"/>
      <c r="N40" s="18"/>
      <c r="O40" s="17"/>
    </row>
    <row r="41" spans="1:15" x14ac:dyDescent="0.2">
      <c r="A41" s="15"/>
      <c r="B41" s="1847"/>
      <c r="C41" s="1847"/>
      <c r="D41" s="1847"/>
      <c r="E41" s="1847"/>
      <c r="F41" s="1847"/>
      <c r="G41" s="1847"/>
      <c r="H41" s="1847"/>
      <c r="I41" s="1847"/>
      <c r="J41" s="1847"/>
      <c r="K41" s="1847"/>
      <c r="L41" s="1847"/>
      <c r="M41" s="1847"/>
      <c r="N41" s="18"/>
      <c r="O41" s="17"/>
    </row>
    <row r="42" spans="1:15" x14ac:dyDescent="0.2">
      <c r="A42" s="15"/>
      <c r="B42" s="1847"/>
      <c r="C42" s="1847"/>
      <c r="D42" s="1847"/>
      <c r="E42" s="1847"/>
      <c r="F42" s="1847"/>
      <c r="G42" s="1847"/>
      <c r="H42" s="1847"/>
      <c r="I42" s="1847"/>
      <c r="J42" s="1847"/>
      <c r="K42" s="1847"/>
      <c r="L42" s="1847"/>
      <c r="M42" s="1847"/>
      <c r="N42" s="18"/>
      <c r="O42" s="17"/>
    </row>
    <row r="43" spans="1:15" x14ac:dyDescent="0.2">
      <c r="A43" s="15"/>
      <c r="B43" s="1847"/>
      <c r="C43" s="1847"/>
      <c r="D43" s="1847"/>
      <c r="E43" s="1847"/>
      <c r="F43" s="1847"/>
      <c r="G43" s="1847"/>
      <c r="H43" s="1847"/>
      <c r="I43" s="1847"/>
      <c r="J43" s="1847"/>
      <c r="K43" s="1847"/>
      <c r="L43" s="1847"/>
      <c r="M43" s="1847"/>
      <c r="N43" s="18"/>
      <c r="O43" s="17"/>
    </row>
    <row r="44" spans="1:15" x14ac:dyDescent="0.2">
      <c r="A44" s="15"/>
      <c r="B44" s="1847"/>
      <c r="C44" s="1847"/>
      <c r="D44" s="1847"/>
      <c r="E44" s="1847"/>
      <c r="F44" s="1847"/>
      <c r="G44" s="1847"/>
      <c r="H44" s="1847"/>
      <c r="I44" s="1847"/>
      <c r="J44" s="1847"/>
      <c r="K44" s="1847"/>
      <c r="L44" s="1847"/>
      <c r="M44" s="1847"/>
      <c r="N44" s="18"/>
      <c r="O44" s="17"/>
    </row>
    <row r="45" spans="1:15" x14ac:dyDescent="0.2">
      <c r="A45" s="15"/>
      <c r="B45" s="1847"/>
      <c r="C45" s="1847"/>
      <c r="D45" s="1847"/>
      <c r="E45" s="1847"/>
      <c r="F45" s="1847"/>
      <c r="G45" s="1847"/>
      <c r="H45" s="1847"/>
      <c r="I45" s="1847"/>
      <c r="J45" s="1847"/>
      <c r="K45" s="1847"/>
      <c r="L45" s="1847"/>
      <c r="M45" s="1847"/>
      <c r="N45" s="18"/>
      <c r="O45" s="17"/>
    </row>
    <row r="46" spans="1:15" x14ac:dyDescent="0.2">
      <c r="A46" s="15"/>
      <c r="B46" s="1847"/>
      <c r="C46" s="1847"/>
      <c r="D46" s="1847"/>
      <c r="E46" s="1847"/>
      <c r="F46" s="1847"/>
      <c r="G46" s="1847"/>
      <c r="H46" s="1847"/>
      <c r="I46" s="1847"/>
      <c r="J46" s="1847"/>
      <c r="K46" s="1847"/>
      <c r="L46" s="1847"/>
      <c r="M46" s="1847"/>
      <c r="N46" s="18"/>
      <c r="O46" s="17"/>
    </row>
    <row r="47" spans="1:15" x14ac:dyDescent="0.2">
      <c r="A47" s="15"/>
      <c r="B47" s="1847"/>
      <c r="C47" s="1847"/>
      <c r="D47" s="1847"/>
      <c r="E47" s="1847"/>
      <c r="F47" s="1847"/>
      <c r="G47" s="1847"/>
      <c r="H47" s="1847"/>
      <c r="I47" s="1847"/>
      <c r="J47" s="1847"/>
      <c r="K47" s="1847"/>
      <c r="L47" s="1847"/>
      <c r="M47" s="1847"/>
      <c r="N47" s="18"/>
      <c r="O47" s="17"/>
    </row>
    <row r="48" spans="1:15" x14ac:dyDescent="0.2">
      <c r="A48" s="15"/>
      <c r="B48" s="1847"/>
      <c r="C48" s="1847"/>
      <c r="D48" s="1847"/>
      <c r="E48" s="1847"/>
      <c r="F48" s="1847"/>
      <c r="G48" s="1847"/>
      <c r="H48" s="1847"/>
      <c r="I48" s="1847"/>
      <c r="J48" s="1847"/>
      <c r="K48" s="1847"/>
      <c r="L48" s="1847"/>
      <c r="M48" s="1847"/>
      <c r="N48" s="18"/>
      <c r="O48" s="17"/>
    </row>
    <row r="49" spans="1:15" x14ac:dyDescent="0.2">
      <c r="A49" s="15"/>
      <c r="B49" s="1847"/>
      <c r="C49" s="1847"/>
      <c r="D49" s="1847"/>
      <c r="E49" s="1847"/>
      <c r="F49" s="1847"/>
      <c r="G49" s="1847"/>
      <c r="H49" s="1847"/>
      <c r="I49" s="1847"/>
      <c r="J49" s="1847"/>
      <c r="K49" s="1847"/>
      <c r="L49" s="1847"/>
      <c r="M49" s="1847"/>
      <c r="N49" s="18"/>
      <c r="O49" s="17"/>
    </row>
    <row r="50" spans="1:15" x14ac:dyDescent="0.2">
      <c r="A50" s="15"/>
      <c r="B50" s="1847"/>
      <c r="C50" s="1847"/>
      <c r="D50" s="1847"/>
      <c r="E50" s="1847"/>
      <c r="F50" s="1847"/>
      <c r="G50" s="1847"/>
      <c r="H50" s="1847"/>
      <c r="I50" s="1847"/>
      <c r="J50" s="1847"/>
      <c r="K50" s="1847"/>
      <c r="L50" s="1847"/>
      <c r="M50" s="1847"/>
      <c r="N50" s="18"/>
      <c r="O50" s="17"/>
    </row>
    <row r="51" spans="1:15" x14ac:dyDescent="0.2">
      <c r="A51" s="15"/>
      <c r="B51" s="1847"/>
      <c r="C51" s="1847"/>
      <c r="D51" s="1847"/>
      <c r="E51" s="1847"/>
      <c r="F51" s="1847"/>
      <c r="G51" s="1847"/>
      <c r="H51" s="1847"/>
      <c r="I51" s="1847"/>
      <c r="J51" s="1847"/>
      <c r="K51" s="1847"/>
      <c r="L51" s="1847"/>
      <c r="M51" s="1847"/>
      <c r="N51" s="18"/>
      <c r="O51" s="17"/>
    </row>
    <row r="52" spans="1:15" x14ac:dyDescent="0.2">
      <c r="A52" s="15"/>
      <c r="B52" s="1847"/>
      <c r="C52" s="1847"/>
      <c r="D52" s="1847"/>
      <c r="E52" s="1847"/>
      <c r="F52" s="1847"/>
      <c r="G52" s="1847"/>
      <c r="H52" s="1847"/>
      <c r="I52" s="1847"/>
      <c r="J52" s="1847"/>
      <c r="K52" s="1847"/>
      <c r="L52" s="1847"/>
      <c r="M52" s="1847"/>
      <c r="N52" s="18"/>
      <c r="O52" s="17"/>
    </row>
    <row r="53" spans="1:15" x14ac:dyDescent="0.2">
      <c r="A53" s="15"/>
      <c r="B53" s="1847"/>
      <c r="C53" s="1847"/>
      <c r="D53" s="1847"/>
      <c r="E53" s="1847"/>
      <c r="F53" s="1847"/>
      <c r="G53" s="1847"/>
      <c r="H53" s="1847"/>
      <c r="I53" s="1847"/>
      <c r="J53" s="1847"/>
      <c r="K53" s="1847"/>
      <c r="L53" s="1847"/>
      <c r="M53" s="1847"/>
      <c r="N53" s="18"/>
      <c r="O53" s="17"/>
    </row>
    <row r="54" spans="1:15" x14ac:dyDescent="0.2">
      <c r="A54" s="15"/>
      <c r="B54" s="1847"/>
      <c r="C54" s="1847"/>
      <c r="D54" s="1847"/>
      <c r="E54" s="1847"/>
      <c r="F54" s="1847"/>
      <c r="G54" s="1847"/>
      <c r="H54" s="1847"/>
      <c r="I54" s="1847"/>
      <c r="J54" s="1847"/>
      <c r="K54" s="1847"/>
      <c r="L54" s="1847"/>
      <c r="M54" s="1847"/>
      <c r="N54" s="18"/>
      <c r="O54" s="17"/>
    </row>
    <row r="55" spans="1:15" x14ac:dyDescent="0.2">
      <c r="A55" s="15"/>
      <c r="B55" s="1847"/>
      <c r="C55" s="1847"/>
      <c r="D55" s="1847"/>
      <c r="E55" s="1847"/>
      <c r="F55" s="1847"/>
      <c r="G55" s="1847"/>
      <c r="H55" s="1847"/>
      <c r="I55" s="1847"/>
      <c r="J55" s="1847"/>
      <c r="K55" s="1847"/>
      <c r="L55" s="1847"/>
      <c r="M55" s="1847"/>
      <c r="N55" s="18"/>
      <c r="O55" s="17"/>
    </row>
    <row r="56" spans="1:15" x14ac:dyDescent="0.2">
      <c r="A56" s="15"/>
      <c r="B56" s="1847"/>
      <c r="C56" s="1847"/>
      <c r="D56" s="1847"/>
      <c r="E56" s="1847"/>
      <c r="F56" s="1847"/>
      <c r="G56" s="1847"/>
      <c r="H56" s="1847"/>
      <c r="I56" s="1847"/>
      <c r="J56" s="1847"/>
      <c r="K56" s="1847"/>
      <c r="L56" s="1847"/>
      <c r="M56" s="1847"/>
      <c r="N56" s="18"/>
      <c r="O56" s="17"/>
    </row>
    <row r="57" spans="1:15" x14ac:dyDescent="0.2">
      <c r="A57" s="15"/>
      <c r="N57" s="18"/>
      <c r="O57" s="17"/>
    </row>
    <row r="58" spans="1:15" x14ac:dyDescent="0.2">
      <c r="A58" s="15"/>
      <c r="N58" s="18"/>
      <c r="O58" s="17"/>
    </row>
    <row r="59" spans="1:15" x14ac:dyDescent="0.2">
      <c r="A59" s="15"/>
      <c r="J59" s="1848"/>
      <c r="K59" s="1848"/>
      <c r="L59" s="1848"/>
      <c r="M59" s="42"/>
      <c r="N59" s="18"/>
      <c r="O59" s="17"/>
    </row>
    <row r="60" spans="1:15" x14ac:dyDescent="0.2">
      <c r="A60" s="15"/>
      <c r="I60" s="30"/>
      <c r="N60" s="18"/>
      <c r="O60" s="17"/>
    </row>
    <row r="61" spans="1:15" x14ac:dyDescent="0.2">
      <c r="A61" s="15"/>
      <c r="N61" s="18"/>
      <c r="O61" s="17"/>
    </row>
    <row r="62" spans="1:15" x14ac:dyDescent="0.2">
      <c r="A62" s="15"/>
      <c r="B62" s="1843"/>
      <c r="C62" s="1625"/>
      <c r="D62" s="1625"/>
      <c r="E62" s="1625"/>
      <c r="F62" s="1625"/>
      <c r="G62" s="1625"/>
      <c r="H62" s="1625"/>
      <c r="I62" s="1625"/>
      <c r="K62" s="1843"/>
      <c r="L62" s="1625"/>
      <c r="M62" s="1625"/>
      <c r="N62" s="18"/>
      <c r="O62" s="17"/>
    </row>
    <row r="63" spans="1:15" x14ac:dyDescent="0.2">
      <c r="A63" s="15"/>
      <c r="B63" s="20" t="s">
        <v>69</v>
      </c>
      <c r="C63"/>
      <c r="D63"/>
      <c r="E63"/>
      <c r="F63"/>
      <c r="G63"/>
      <c r="H63"/>
      <c r="I63"/>
      <c r="J63"/>
      <c r="K63" s="1841" t="s">
        <v>122</v>
      </c>
      <c r="L63" s="1841"/>
      <c r="M63" s="1841"/>
      <c r="N63" s="18"/>
      <c r="O63" s="17"/>
    </row>
    <row r="64" spans="1:15" x14ac:dyDescent="0.2">
      <c r="A64" s="31"/>
      <c r="B64" s="54"/>
      <c r="C64" s="54"/>
      <c r="D64" s="54"/>
      <c r="E64" s="54"/>
      <c r="F64" s="54"/>
      <c r="G64" s="54"/>
      <c r="H64" s="54"/>
      <c r="I64" s="54"/>
      <c r="J64" s="55"/>
      <c r="K64" s="1842" t="s">
        <v>123</v>
      </c>
      <c r="L64" s="1842"/>
      <c r="M64" s="1842"/>
      <c r="N64" s="32"/>
      <c r="O64" s="17"/>
    </row>
  </sheetData>
  <sheetProtection algorithmName="SHA-512" hashValue="+FRsYkHHumM9Qn3XDtBzHIiR0ZwovW+kGzme/rtN8MEyq9N2WZy+/KyuB2sks0cHEiaDuJWQQSQsDD2PXfYMXQ==" saltValue="D8GtOEEDS82oN3tVkoN67A==" spinCount="100000" sheet="1" objects="1" scenarios="1"/>
  <customSheetViews>
    <customSheetView guid="{9119B1A0-FD79-4FE4-B78E-10E0AEB8080B}" showPageBreaks="1" showGridLines="0" fitToPage="1" printArea="1" view="pageLayout">
      <selection activeCell="K6" activeCellId="8" sqref="B62:I62 K62:M62 B38:M56 D24 D20 D15 D12 H6 K6"/>
      <pageMargins left="0.70866141732283472" right="0.70866141732283472" top="0.78740157480314965" bottom="0.78740157480314965" header="0.31496062992125984" footer="0.31496062992125984"/>
      <pageSetup paperSize="9" scale="79" orientation="portrait" r:id="rId1"/>
      <headerFooter>
        <oddHeader>&amp;C&amp;9Bewohnervertretung</oddHeader>
        <oddFooter>&amp;L&amp;8Version: 13.11.2019&amp;C&amp;8Verhandlungsunterlagen SGB XI (vereinfacht)</oddFooter>
      </headerFooter>
    </customSheetView>
  </customSheetViews>
  <mergeCells count="17">
    <mergeCell ref="A1:N1"/>
    <mergeCell ref="A2:N2"/>
    <mergeCell ref="A3:N3"/>
    <mergeCell ref="A4:N4"/>
    <mergeCell ref="B6:G6"/>
    <mergeCell ref="L6:M6"/>
    <mergeCell ref="K63:M63"/>
    <mergeCell ref="K64:M64"/>
    <mergeCell ref="K62:M62"/>
    <mergeCell ref="B62:I62"/>
    <mergeCell ref="B8:M8"/>
    <mergeCell ref="F20:L20"/>
    <mergeCell ref="F24:L24"/>
    <mergeCell ref="B38:M56"/>
    <mergeCell ref="J59:L59"/>
    <mergeCell ref="F22:L22"/>
    <mergeCell ref="F26:L26"/>
  </mergeCells>
  <pageMargins left="0.70866141732283472" right="0.70866141732283472" top="0.78740157480314965" bottom="0.78740157480314965" header="0.31496062992125984" footer="0.31496062992125984"/>
  <pageSetup paperSize="9" scale="79" orientation="portrait"/>
  <headerFooter>
    <oddHeader>&amp;C&amp;9Bewohnervertretung</oddHeader>
    <oddFooter>&amp;L&amp;8Version: 21.11.2024&amp;C&amp;8Verhandlungsunterlagen SGB XI (vereinfacht B2)&amp;R&amp;8PSK-Beschluss vom 07.11.2024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15</vt:i4>
      </vt:variant>
    </vt:vector>
  </HeadingPairs>
  <TitlesOfParts>
    <vt:vector size="28" baseType="lpstr">
      <vt:lpstr>B2_Versionsinfo</vt:lpstr>
      <vt:lpstr>KAT</vt:lpstr>
      <vt:lpstr>B2_Hinweise</vt:lpstr>
      <vt:lpstr>B2_Allgemeine Angaben</vt:lpstr>
      <vt:lpstr>B2_Kalkulation</vt:lpstr>
      <vt:lpstr>B2_Personalkostenübersicht</vt:lpstr>
      <vt:lpstr>B2_Gesamtkalkulation </vt:lpstr>
      <vt:lpstr>B2_Gesamtkalkulation ab XXX</vt:lpstr>
      <vt:lpstr>Bewohnervertretung</vt:lpstr>
      <vt:lpstr>B2_Ergebnis</vt:lpstr>
      <vt:lpstr>Adressverzeichnis</vt:lpstr>
      <vt:lpstr>Archiv</vt:lpstr>
      <vt:lpstr>B2_Archiv</vt:lpstr>
      <vt:lpstr>Adressverzeichnis!Druckbereich</vt:lpstr>
      <vt:lpstr>'B2_Allgemeine Angaben'!Druckbereich</vt:lpstr>
      <vt:lpstr>B2_Ergebnis!Druckbereich</vt:lpstr>
      <vt:lpstr>'B2_Gesamtkalkulation '!Druckbereich</vt:lpstr>
      <vt:lpstr>'B2_Gesamtkalkulation ab XXX'!Druckbereich</vt:lpstr>
      <vt:lpstr>B2_Hinweise!Druckbereich</vt:lpstr>
      <vt:lpstr>B2_Kalkulation!Druckbereich</vt:lpstr>
      <vt:lpstr>B2_Personalkostenübersicht!Druckbereich</vt:lpstr>
      <vt:lpstr>B2_Versionsinfo!Druckbereich</vt:lpstr>
      <vt:lpstr>Bewohnervertretung!Druckbereich</vt:lpstr>
      <vt:lpstr>KAT!Druckbereich</vt:lpstr>
      <vt:lpstr>B2_Personalkostenübersicht!Drucktitel</vt:lpstr>
      <vt:lpstr>B2_Versionsinfo!Drucktitel</vt:lpstr>
      <vt:lpstr>'B2_Gesamtkalkulation ab XXX'!eeadivisor</vt:lpstr>
      <vt:lpstr>eeadivisor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Antragsunterlage für tarifungebundene Einrichtungen mit ausgelaufener Vereinbarung</dc:title>
  <dc:creator>AOK PLUS - Die Gesundheitskasse für Sachsen und Thüringen</dc:creator>
  <cp:lastPrinted>2024-11-22T15:02:12Z</cp:lastPrinted>
  <dcterms:created xsi:type="dcterms:W3CDTF">2012-08-21T12:23:19Z</dcterms:created>
  <dcterms:modified xsi:type="dcterms:W3CDTF">2024-11-26T14:02:17Z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f72c9e-ff9b-4d29-a8be-f698af1f1989_Enabled">
    <vt:lpwstr>true</vt:lpwstr>
  </property>
  <property fmtid="{D5CDD505-2E9C-101B-9397-08002B2CF9AE}" pid="3" name="MSIP_Label_94f72c9e-ff9b-4d29-a8be-f698af1f1989_SetDate">
    <vt:lpwstr>2024-11-22T09:11:49Z</vt:lpwstr>
  </property>
  <property fmtid="{D5CDD505-2E9C-101B-9397-08002B2CF9AE}" pid="4" name="MSIP_Label_94f72c9e-ff9b-4d29-a8be-f698af1f1989_Method">
    <vt:lpwstr>Privileged</vt:lpwstr>
  </property>
  <property fmtid="{D5CDD505-2E9C-101B-9397-08002B2CF9AE}" pid="5" name="MSIP_Label_94f72c9e-ff9b-4d29-a8be-f698af1f1989_Name">
    <vt:lpwstr>öffentlich</vt:lpwstr>
  </property>
  <property fmtid="{D5CDD505-2E9C-101B-9397-08002B2CF9AE}" pid="6" name="MSIP_Label_94f72c9e-ff9b-4d29-a8be-f698af1f1989_SiteId">
    <vt:lpwstr>f5342d95-aa7e-460f-b3ed-51b1514dd06a</vt:lpwstr>
  </property>
  <property fmtid="{D5CDD505-2E9C-101B-9397-08002B2CF9AE}" pid="7" name="MSIP_Label_94f72c9e-ff9b-4d29-a8be-f698af1f1989_ActionId">
    <vt:lpwstr>aa14335e-ddd4-4fed-a65a-f2b6fb6f275d</vt:lpwstr>
  </property>
  <property fmtid="{D5CDD505-2E9C-101B-9397-08002B2CF9AE}" pid="8" name="MSIP_Label_94f72c9e-ff9b-4d29-a8be-f698af1f1989_ContentBits">
    <vt:lpwstr>2</vt:lpwstr>
  </property>
</Properties>
</file>