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DieseArbeitsmappe"/>
  <mc:AlternateContent xmlns:mc="http://schemas.openxmlformats.org/markup-compatibility/2006">
    <mc:Choice Requires="x15">
      <x15ac:absPath xmlns:x15ac="http://schemas.microsoft.com/office/spreadsheetml/2010/11/ac" url="\\data.plus.aok.de\dfs\DAT\G\PP\VM\S\_ALL\SAC\GREMIEN_ARBEITSGRUPPEN\UAG Antragsunterlagen\ab_14.08.2023\04_Abstimmungen_UAG\241111 UAG\Endversion Anträge\TP_KZP\"/>
    </mc:Choice>
  </mc:AlternateContent>
  <xr:revisionPtr revIDLastSave="0" documentId="13_ncr:1_{38C9FE77-A0AB-4470-B032-BBA34AA39F25}" xr6:coauthVersionLast="47" xr6:coauthVersionMax="47" xr10:uidLastSave="{00000000-0000-0000-0000-000000000000}"/>
  <bookViews>
    <workbookView xWindow="-120" yWindow="-120" windowWidth="29040" windowHeight="15840" tabRatio="783" xr2:uid="{00000000-000D-0000-FFFF-FFFF00000000}"/>
  </bookViews>
  <sheets>
    <sheet name="Allgemeine Hinweise" sheetId="10" r:id="rId1"/>
    <sheet name="VERSIONSINFO" sheetId="15" state="hidden" r:id="rId2"/>
    <sheet name="Allgemeine Angaben" sheetId="1" r:id="rId3"/>
    <sheet name="KAT" sheetId="13" state="hidden" r:id="rId4"/>
    <sheet name="Belegung" sheetId="2" r:id="rId5"/>
    <sheet name="Personalkostenaufstellung" sheetId="4" r:id="rId6"/>
    <sheet name="Personalaufwendungen" sheetId="3" r:id="rId7"/>
    <sheet name="Sachaufwendungen" sheetId="5" r:id="rId8"/>
    <sheet name="Beförderung" sheetId="6" r:id="rId9"/>
    <sheet name="Forderung" sheetId="7" r:id="rId10"/>
    <sheet name="Gesamtkalkulation" sheetId="8" r:id="rId11"/>
    <sheet name="Bewohnervertretung" sheetId="14" r:id="rId12"/>
    <sheet name="Hinweise Sachaufwendungen" sheetId="11" r:id="rId13"/>
    <sheet name="Adressverzeichnis" sheetId="12" r:id="rId14"/>
  </sheets>
  <definedNames>
    <definedName name="divisor">Belegung!$E$20</definedName>
    <definedName name="_xlnm.Print_Area" localSheetId="13">Adressverzeichnis!$A$1:$I$57</definedName>
    <definedName name="_xlnm.Print_Area" localSheetId="2">'Allgemeine Angaben'!$A$1:$N$77</definedName>
    <definedName name="_xlnm.Print_Area" localSheetId="8">Beförderung!$A$1:$J$55</definedName>
    <definedName name="_xlnm.Print_Area" localSheetId="4">Belegung!$A$1:$H$66</definedName>
    <definedName name="_xlnm.Print_Area" localSheetId="11">Bewohnervertretung!$A$1:$N$64</definedName>
    <definedName name="_xlnm.Print_Area" localSheetId="9">Forderung!$A$1:$M$73</definedName>
    <definedName name="_xlnm.Print_Area" localSheetId="10">Gesamtkalkulation!$A$1:$W$54</definedName>
    <definedName name="_xlnm.Print_Area" localSheetId="12">'Hinweise Sachaufwendungen'!$A$1:$C$27</definedName>
    <definedName name="_xlnm.Print_Area" localSheetId="3">KAT!$A$1</definedName>
    <definedName name="_xlnm.Print_Area" localSheetId="6">Personalaufwendungen!$A$1:$K$70</definedName>
    <definedName name="_xlnm.Print_Area" localSheetId="5">Personalkostenaufstellung!$A$1:$Y$179</definedName>
    <definedName name="_xlnm.Print_Area" localSheetId="7">Sachaufwendungen!$A$1:$P$64</definedName>
    <definedName name="_xlnm.Print_Area" localSheetId="1">VERSIONSINFO!$A$1:$E$59</definedName>
    <definedName name="_xlnm.Print_Titles" localSheetId="12">'Hinweise Sachaufwendungen'!$1:$1</definedName>
    <definedName name="_xlnm.Print_Titles" localSheetId="5">Personalkostenaufstellung!$2:$19</definedName>
    <definedName name="_xlnm.Print_Titles" localSheetId="1">VERSIONSINFO!$5:$5</definedName>
    <definedName name="eeadivisor">Gesamtkalkulation!$F$11</definedName>
    <definedName name="pnk">Personalaufwendungen!$I$55</definedName>
    <definedName name="risiko">Personalaufwendungen!$I$59</definedName>
    <definedName name="Z_CDDBAA41_0D3E_44AF_A85A_332C81A5DAE4_.wvu.Cols" localSheetId="9" hidden="1">Forderung!$N:$AC</definedName>
    <definedName name="Z_CDDBAA41_0D3E_44AF_A85A_332C81A5DAE4_.wvu.Cols" localSheetId="10" hidden="1">Gesamtkalkulation!$E:$G,Gesamtkalkulation!$I:$I,Gesamtkalkulation!$K:$K,Gesamtkalkulation!$M:$M,Gesamtkalkulation!$O:$O,Gesamtkalkulation!$Q:$Q,Gesamtkalkulation!$S:$S,Gesamtkalkulation!$U:$U</definedName>
    <definedName name="Z_CDDBAA41_0D3E_44AF_A85A_332C81A5DAE4_.wvu.Cols" localSheetId="5" hidden="1">Personalkostenaufstellung!$AS:$AV</definedName>
    <definedName name="Z_CDDBAA41_0D3E_44AF_A85A_332C81A5DAE4_.wvu.PrintArea" localSheetId="13" hidden="1">Adressverzeichnis!$A$1:$I$53</definedName>
    <definedName name="Z_CDDBAA41_0D3E_44AF_A85A_332C81A5DAE4_.wvu.PrintArea" localSheetId="2" hidden="1">'Allgemeine Angaben'!$A$1:$N$77</definedName>
    <definedName name="Z_CDDBAA41_0D3E_44AF_A85A_332C81A5DAE4_.wvu.PrintArea" localSheetId="8" hidden="1">Beförderung!$A$1:$J$55</definedName>
    <definedName name="Z_CDDBAA41_0D3E_44AF_A85A_332C81A5DAE4_.wvu.PrintArea" localSheetId="4" hidden="1">Belegung!$A$1:$H$66</definedName>
    <definedName name="Z_CDDBAA41_0D3E_44AF_A85A_332C81A5DAE4_.wvu.PrintArea" localSheetId="9" hidden="1">Forderung!$A$1:$M$73</definedName>
    <definedName name="Z_CDDBAA41_0D3E_44AF_A85A_332C81A5DAE4_.wvu.PrintArea" localSheetId="10" hidden="1">Gesamtkalkulation!$A$1:$W$54</definedName>
    <definedName name="Z_CDDBAA41_0D3E_44AF_A85A_332C81A5DAE4_.wvu.PrintArea" localSheetId="12" hidden="1">'Hinweise Sachaufwendungen'!$A$1:$C$27</definedName>
    <definedName name="Z_CDDBAA41_0D3E_44AF_A85A_332C81A5DAE4_.wvu.PrintArea" localSheetId="6" hidden="1">Personalaufwendungen!$A$1:$K$70</definedName>
    <definedName name="Z_CDDBAA41_0D3E_44AF_A85A_332C81A5DAE4_.wvu.PrintArea" localSheetId="5" hidden="1">Personalkostenaufstellung!$A$1:$Y$179</definedName>
    <definedName name="Z_CDDBAA41_0D3E_44AF_A85A_332C81A5DAE4_.wvu.PrintArea" localSheetId="7" hidden="1">Sachaufwendungen!$A$1:$P$64</definedName>
    <definedName name="Z_CDDBAA41_0D3E_44AF_A85A_332C81A5DAE4_.wvu.PrintTitles" localSheetId="12" hidden="1">'Hinweise Sachaufwendungen'!$1:$1</definedName>
    <definedName name="Z_CDDBAA41_0D3E_44AF_A85A_332C81A5DAE4_.wvu.Rows" localSheetId="13" hidden="1">Adressverzeichnis!$48:$48</definedName>
    <definedName name="Z_CDDBAA41_0D3E_44AF_A85A_332C81A5DAE4_.wvu.Rows" localSheetId="5" hidden="1">Personalkostenaufstellung!$19:$19</definedName>
  </definedNames>
  <calcPr calcId="191029"/>
  <customWorkbookViews>
    <customWorkbookView name="Bischoff, Kathrin - Persönliche Ansicht" guid="{CDDBAA41-0D3E-44AF-A85A-332C81A5DAE4}" mergeInterval="0" personalView="1" maximized="1" xWindow="-8" yWindow="-8" windowWidth="1936" windowHeight="1056" tabRatio="78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68" i="4" l="1"/>
  <c r="AI168" i="4"/>
  <c r="AH168" i="4"/>
  <c r="AG168" i="4"/>
  <c r="AF168" i="4"/>
  <c r="AE168" i="4"/>
  <c r="AD168" i="4"/>
  <c r="AC168" i="4"/>
  <c r="AB168" i="4"/>
  <c r="AA168" i="4"/>
  <c r="H9" i="1"/>
  <c r="K46" i="1" l="1"/>
  <c r="K45" i="1" l="1"/>
  <c r="G8" i="2" s="1"/>
  <c r="C19" i="2" l="1"/>
  <c r="H8" i="2"/>
  <c r="I64" i="3" l="1"/>
  <c r="I62" i="3"/>
  <c r="V159" i="4" l="1"/>
  <c r="X158" i="4"/>
  <c r="X157" i="4"/>
  <c r="AC23" i="4" l="1"/>
  <c r="AD23" i="4"/>
  <c r="AE22" i="4" l="1"/>
  <c r="AA22" i="4"/>
  <c r="C49" i="4"/>
  <c r="F25" i="4"/>
  <c r="AP136" i="4" l="1"/>
  <c r="AR136" i="4"/>
  <c r="AQ136" i="4"/>
  <c r="AO136" i="4"/>
  <c r="AN136" i="4"/>
  <c r="AM136" i="4"/>
  <c r="AL136" i="4"/>
  <c r="AK136" i="4"/>
  <c r="AJ136" i="4"/>
  <c r="AI136" i="4"/>
  <c r="AH136" i="4"/>
  <c r="AG136" i="4"/>
  <c r="AF136" i="4"/>
  <c r="AE136" i="4"/>
  <c r="AD136" i="4"/>
  <c r="AC136" i="4"/>
  <c r="AB136" i="4"/>
  <c r="AA136" i="4"/>
  <c r="AR135" i="4"/>
  <c r="AQ135" i="4"/>
  <c r="AP135" i="4"/>
  <c r="AO135" i="4"/>
  <c r="AN135" i="4"/>
  <c r="AM135" i="4"/>
  <c r="AL135" i="4"/>
  <c r="AK135" i="4"/>
  <c r="AJ135" i="4"/>
  <c r="AI135" i="4"/>
  <c r="AH135" i="4"/>
  <c r="AG135" i="4"/>
  <c r="AF135" i="4"/>
  <c r="AE135" i="4"/>
  <c r="AD135" i="4"/>
  <c r="AC135" i="4"/>
  <c r="AB135" i="4"/>
  <c r="AA135" i="4"/>
  <c r="AR134" i="4"/>
  <c r="AQ134" i="4"/>
  <c r="AP134" i="4"/>
  <c r="AO134" i="4"/>
  <c r="AN134" i="4"/>
  <c r="AM134" i="4"/>
  <c r="AL134" i="4"/>
  <c r="AK134" i="4"/>
  <c r="AJ134" i="4"/>
  <c r="AI134" i="4"/>
  <c r="AH134" i="4"/>
  <c r="AG134" i="4"/>
  <c r="AF134" i="4"/>
  <c r="AE134" i="4"/>
  <c r="AD134" i="4"/>
  <c r="AC134" i="4"/>
  <c r="AB134" i="4"/>
  <c r="AA134" i="4"/>
  <c r="AR133" i="4"/>
  <c r="AQ133" i="4"/>
  <c r="AP133" i="4"/>
  <c r="AO133" i="4"/>
  <c r="AN133" i="4"/>
  <c r="AM133" i="4"/>
  <c r="AL133" i="4"/>
  <c r="AK133" i="4"/>
  <c r="AJ133" i="4"/>
  <c r="AI133" i="4"/>
  <c r="AH133" i="4"/>
  <c r="AG133" i="4"/>
  <c r="AF133" i="4"/>
  <c r="AE133" i="4"/>
  <c r="AD133" i="4"/>
  <c r="AC133" i="4"/>
  <c r="AB133" i="4"/>
  <c r="AA133" i="4"/>
  <c r="AR132" i="4"/>
  <c r="AQ132" i="4"/>
  <c r="AP132" i="4"/>
  <c r="AO132" i="4"/>
  <c r="AN132" i="4"/>
  <c r="AM132" i="4"/>
  <c r="AL132" i="4"/>
  <c r="AK132" i="4"/>
  <c r="AJ132" i="4"/>
  <c r="AI132" i="4"/>
  <c r="AH132" i="4"/>
  <c r="AG132" i="4"/>
  <c r="AF132" i="4"/>
  <c r="AE132" i="4"/>
  <c r="AD132" i="4"/>
  <c r="AC132" i="4"/>
  <c r="AB132" i="4"/>
  <c r="AA132" i="4"/>
  <c r="AR131" i="4"/>
  <c r="AQ131" i="4"/>
  <c r="AP131" i="4"/>
  <c r="AO131" i="4"/>
  <c r="AN131" i="4"/>
  <c r="AM131" i="4"/>
  <c r="AL131" i="4"/>
  <c r="AK131" i="4"/>
  <c r="AJ131" i="4"/>
  <c r="AI131" i="4"/>
  <c r="AH131" i="4"/>
  <c r="AG131" i="4"/>
  <c r="AF131" i="4"/>
  <c r="AE131" i="4"/>
  <c r="AD131" i="4"/>
  <c r="AC131" i="4"/>
  <c r="AB131" i="4"/>
  <c r="AA131" i="4"/>
  <c r="AR130" i="4"/>
  <c r="AQ130" i="4"/>
  <c r="AP130" i="4"/>
  <c r="AO130" i="4"/>
  <c r="AN130" i="4"/>
  <c r="AM130" i="4"/>
  <c r="AL130" i="4"/>
  <c r="AK130" i="4"/>
  <c r="AJ130" i="4"/>
  <c r="AI130" i="4"/>
  <c r="AH130" i="4"/>
  <c r="AG130" i="4"/>
  <c r="AF130" i="4"/>
  <c r="AE130" i="4"/>
  <c r="AD130" i="4"/>
  <c r="AC130" i="4"/>
  <c r="AB130" i="4"/>
  <c r="AA130" i="4"/>
  <c r="AR129" i="4"/>
  <c r="AQ129" i="4"/>
  <c r="AP129" i="4"/>
  <c r="AO129" i="4"/>
  <c r="AN129" i="4"/>
  <c r="AM129" i="4"/>
  <c r="AL129" i="4"/>
  <c r="AK129" i="4"/>
  <c r="AJ129" i="4"/>
  <c r="AI129" i="4"/>
  <c r="AH129" i="4"/>
  <c r="AG129" i="4"/>
  <c r="AF129" i="4"/>
  <c r="AE129" i="4"/>
  <c r="AD129" i="4"/>
  <c r="AC129" i="4"/>
  <c r="AB129" i="4"/>
  <c r="AA129" i="4"/>
  <c r="AQ128" i="4"/>
  <c r="AP128" i="4"/>
  <c r="AO128" i="4"/>
  <c r="AN128" i="4"/>
  <c r="AM128" i="4"/>
  <c r="AL128" i="4"/>
  <c r="AK128" i="4"/>
  <c r="AJ128" i="4"/>
  <c r="AH128" i="4"/>
  <c r="AG128" i="4"/>
  <c r="AF128" i="4"/>
  <c r="AE128" i="4"/>
  <c r="AD128" i="4"/>
  <c r="AC128" i="4"/>
  <c r="AB128" i="4"/>
  <c r="AA128" i="4"/>
  <c r="AA121" i="4"/>
  <c r="AB121" i="4"/>
  <c r="AC121" i="4"/>
  <c r="AD121" i="4"/>
  <c r="AE121" i="4"/>
  <c r="AF121" i="4"/>
  <c r="AG121" i="4"/>
  <c r="AH121" i="4"/>
  <c r="AI121" i="4"/>
  <c r="AJ121" i="4"/>
  <c r="AK121" i="4"/>
  <c r="AL121" i="4"/>
  <c r="AM121" i="4"/>
  <c r="AN121" i="4"/>
  <c r="AO121" i="4"/>
  <c r="AP121" i="4"/>
  <c r="AQ121" i="4"/>
  <c r="AR121" i="4"/>
  <c r="AA122" i="4"/>
  <c r="AB122" i="4"/>
  <c r="AC122" i="4"/>
  <c r="AD122" i="4"/>
  <c r="AE122" i="4"/>
  <c r="AF122" i="4"/>
  <c r="AG122" i="4"/>
  <c r="AH122" i="4"/>
  <c r="AI122" i="4"/>
  <c r="AJ122" i="4"/>
  <c r="AK122" i="4"/>
  <c r="AL122" i="4"/>
  <c r="AM122" i="4"/>
  <c r="AN122" i="4"/>
  <c r="AO122" i="4"/>
  <c r="AP122" i="4"/>
  <c r="AQ122" i="4"/>
  <c r="AR122" i="4"/>
  <c r="AA123" i="4"/>
  <c r="AB123" i="4"/>
  <c r="AC123" i="4"/>
  <c r="AD123" i="4"/>
  <c r="AE123" i="4"/>
  <c r="AF123" i="4"/>
  <c r="AG123" i="4"/>
  <c r="AH123" i="4"/>
  <c r="AI123" i="4"/>
  <c r="AJ123" i="4"/>
  <c r="AK123" i="4"/>
  <c r="AL123" i="4"/>
  <c r="AM123" i="4"/>
  <c r="AN123" i="4"/>
  <c r="AO123" i="4"/>
  <c r="AP123" i="4"/>
  <c r="AQ123" i="4"/>
  <c r="AR123" i="4"/>
  <c r="AA124" i="4"/>
  <c r="AB124" i="4"/>
  <c r="AC124" i="4"/>
  <c r="AD124" i="4"/>
  <c r="AE124" i="4"/>
  <c r="AF124" i="4"/>
  <c r="AG124" i="4"/>
  <c r="AH124" i="4"/>
  <c r="AI124" i="4"/>
  <c r="AJ124" i="4"/>
  <c r="AK124" i="4"/>
  <c r="AL124" i="4"/>
  <c r="AM124" i="4"/>
  <c r="AN124" i="4"/>
  <c r="AO124" i="4"/>
  <c r="AP124" i="4"/>
  <c r="AQ124" i="4"/>
  <c r="AR124" i="4"/>
  <c r="AR120" i="4"/>
  <c r="AQ120" i="4"/>
  <c r="AP120" i="4"/>
  <c r="AO120" i="4"/>
  <c r="AN120" i="4"/>
  <c r="AM120" i="4"/>
  <c r="AL120" i="4"/>
  <c r="AK120" i="4"/>
  <c r="AJ120" i="4"/>
  <c r="AI120" i="4"/>
  <c r="AH120" i="4"/>
  <c r="AG120" i="4"/>
  <c r="AF120" i="4"/>
  <c r="AE120" i="4"/>
  <c r="AD120" i="4"/>
  <c r="AC120" i="4"/>
  <c r="AB120" i="4"/>
  <c r="AA120" i="4"/>
  <c r="AR119" i="4"/>
  <c r="AQ119" i="4"/>
  <c r="AP119" i="4"/>
  <c r="AO119" i="4"/>
  <c r="AN119" i="4"/>
  <c r="AM119" i="4"/>
  <c r="AL119" i="4"/>
  <c r="AK119" i="4"/>
  <c r="AJ119" i="4"/>
  <c r="AI119" i="4"/>
  <c r="AH119" i="4"/>
  <c r="AG119" i="4"/>
  <c r="AF119" i="4"/>
  <c r="AE119" i="4"/>
  <c r="AD119" i="4"/>
  <c r="AC119" i="4"/>
  <c r="AB119" i="4"/>
  <c r="AA119" i="4"/>
  <c r="AR118" i="4"/>
  <c r="AQ118" i="4"/>
  <c r="AP118" i="4"/>
  <c r="AO118" i="4"/>
  <c r="AN118" i="4"/>
  <c r="AM118" i="4"/>
  <c r="AL118" i="4"/>
  <c r="AK118" i="4"/>
  <c r="AJ118" i="4"/>
  <c r="AI118" i="4"/>
  <c r="AH118" i="4"/>
  <c r="AG118" i="4"/>
  <c r="AF118" i="4"/>
  <c r="AE118" i="4"/>
  <c r="AD118" i="4"/>
  <c r="AC118" i="4"/>
  <c r="AB118" i="4"/>
  <c r="AA118" i="4"/>
  <c r="AQ117" i="4"/>
  <c r="AP117" i="4"/>
  <c r="AO117" i="4"/>
  <c r="AN117" i="4"/>
  <c r="AM117" i="4"/>
  <c r="AL117" i="4"/>
  <c r="AK117" i="4"/>
  <c r="AJ117" i="4"/>
  <c r="AH117" i="4"/>
  <c r="AG117" i="4"/>
  <c r="AF117" i="4"/>
  <c r="AE117" i="4"/>
  <c r="AD117" i="4"/>
  <c r="AC117" i="4"/>
  <c r="AB117" i="4"/>
  <c r="AA117" i="4"/>
  <c r="AR116" i="4"/>
  <c r="AQ116" i="4"/>
  <c r="AP116" i="4"/>
  <c r="AO116" i="4"/>
  <c r="AN116" i="4"/>
  <c r="AM116" i="4"/>
  <c r="AL116" i="4"/>
  <c r="AK116" i="4"/>
  <c r="AJ116" i="4"/>
  <c r="AI116" i="4"/>
  <c r="AH116" i="4"/>
  <c r="AG116" i="4"/>
  <c r="AF116" i="4"/>
  <c r="AE116" i="4"/>
  <c r="AD116" i="4"/>
  <c r="AC116" i="4"/>
  <c r="AB116" i="4"/>
  <c r="AA116" i="4"/>
  <c r="AA109" i="4"/>
  <c r="AB109" i="4"/>
  <c r="AC109" i="4"/>
  <c r="AD109" i="4"/>
  <c r="AE109" i="4"/>
  <c r="AF109" i="4"/>
  <c r="AG109" i="4"/>
  <c r="AH109" i="4"/>
  <c r="AI109" i="4"/>
  <c r="AJ109" i="4"/>
  <c r="AK109" i="4"/>
  <c r="AL109" i="4"/>
  <c r="AM109" i="4"/>
  <c r="AN109" i="4"/>
  <c r="AO109" i="4"/>
  <c r="AP109" i="4"/>
  <c r="AQ109" i="4"/>
  <c r="AR109" i="4"/>
  <c r="AA110" i="4"/>
  <c r="AB110" i="4"/>
  <c r="AC110" i="4"/>
  <c r="AD110" i="4"/>
  <c r="AE110" i="4"/>
  <c r="AF110" i="4"/>
  <c r="AG110" i="4"/>
  <c r="AH110" i="4"/>
  <c r="AI110" i="4"/>
  <c r="AJ110" i="4"/>
  <c r="AK110" i="4"/>
  <c r="AL110" i="4"/>
  <c r="AM110" i="4"/>
  <c r="AN110" i="4"/>
  <c r="AO110" i="4"/>
  <c r="AP110" i="4"/>
  <c r="AQ110" i="4"/>
  <c r="AR110" i="4"/>
  <c r="AA111" i="4"/>
  <c r="AB111" i="4"/>
  <c r="AC111" i="4"/>
  <c r="AD111" i="4"/>
  <c r="AE111" i="4"/>
  <c r="AF111" i="4"/>
  <c r="AG111" i="4"/>
  <c r="AH111" i="4"/>
  <c r="AI111" i="4"/>
  <c r="AJ111" i="4"/>
  <c r="AK111" i="4"/>
  <c r="AL111" i="4"/>
  <c r="AM111" i="4"/>
  <c r="AN111" i="4"/>
  <c r="AO111" i="4"/>
  <c r="AP111" i="4"/>
  <c r="AQ111" i="4"/>
  <c r="AR111" i="4"/>
  <c r="AA112" i="4"/>
  <c r="AB112" i="4"/>
  <c r="AC112" i="4"/>
  <c r="AD112" i="4"/>
  <c r="AE112" i="4"/>
  <c r="AF112" i="4"/>
  <c r="AG112" i="4"/>
  <c r="AH112" i="4"/>
  <c r="AI112" i="4"/>
  <c r="AJ112" i="4"/>
  <c r="AK112" i="4"/>
  <c r="AL112" i="4"/>
  <c r="AM112" i="4"/>
  <c r="AN112" i="4"/>
  <c r="AO112" i="4"/>
  <c r="AP112" i="4"/>
  <c r="AQ112" i="4"/>
  <c r="AR112" i="4"/>
  <c r="AR108" i="4"/>
  <c r="AQ108" i="4"/>
  <c r="AP108" i="4"/>
  <c r="AO108" i="4"/>
  <c r="AN108" i="4"/>
  <c r="AM108" i="4"/>
  <c r="AL108" i="4"/>
  <c r="AK108" i="4"/>
  <c r="AJ108" i="4"/>
  <c r="AI108" i="4"/>
  <c r="AH108" i="4"/>
  <c r="AG108" i="4"/>
  <c r="AF108" i="4"/>
  <c r="AE108" i="4"/>
  <c r="AD108" i="4"/>
  <c r="AC108" i="4"/>
  <c r="AB108" i="4"/>
  <c r="AA108" i="4"/>
  <c r="AI97" i="4"/>
  <c r="AI98" i="4"/>
  <c r="AI99" i="4"/>
  <c r="AI100" i="4"/>
  <c r="AI101" i="4"/>
  <c r="AI102" i="4"/>
  <c r="AI103" i="4"/>
  <c r="AI104" i="4"/>
  <c r="AI96" i="4"/>
  <c r="AI88" i="4"/>
  <c r="AI89" i="4"/>
  <c r="AI90" i="4"/>
  <c r="AI91" i="4"/>
  <c r="AI87" i="4"/>
  <c r="AI53" i="4"/>
  <c r="AI54" i="4"/>
  <c r="AI55" i="4"/>
  <c r="AI56" i="4"/>
  <c r="AI57" i="4"/>
  <c r="AI58" i="4"/>
  <c r="AI59" i="4"/>
  <c r="AI60" i="4"/>
  <c r="AI61" i="4"/>
  <c r="AI62" i="4"/>
  <c r="AI63" i="4"/>
  <c r="AI64" i="4"/>
  <c r="AI65" i="4"/>
  <c r="AI66" i="4"/>
  <c r="AI67" i="4"/>
  <c r="AI68" i="4"/>
  <c r="AI69" i="4"/>
  <c r="AI70" i="4"/>
  <c r="AI71" i="4"/>
  <c r="AI72" i="4"/>
  <c r="AI73" i="4"/>
  <c r="AI74" i="4"/>
  <c r="AI75" i="4"/>
  <c r="AI76" i="4"/>
  <c r="AI77" i="4"/>
  <c r="AI78" i="4"/>
  <c r="AI79" i="4"/>
  <c r="AI80"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A97" i="4"/>
  <c r="AB97" i="4"/>
  <c r="AC97" i="4"/>
  <c r="AD97" i="4"/>
  <c r="AE97" i="4"/>
  <c r="AF97" i="4"/>
  <c r="AG97" i="4"/>
  <c r="AH97" i="4"/>
  <c r="AJ97" i="4"/>
  <c r="AK97" i="4"/>
  <c r="AL97" i="4"/>
  <c r="AM97" i="4"/>
  <c r="AN97" i="4"/>
  <c r="AO97" i="4"/>
  <c r="AP97" i="4"/>
  <c r="AQ97" i="4"/>
  <c r="AR97" i="4"/>
  <c r="AA98" i="4"/>
  <c r="AB98" i="4"/>
  <c r="AC98" i="4"/>
  <c r="AD98" i="4"/>
  <c r="AE98" i="4"/>
  <c r="AF98" i="4"/>
  <c r="AG98" i="4"/>
  <c r="AH98" i="4"/>
  <c r="AJ98" i="4"/>
  <c r="AK98" i="4"/>
  <c r="AL98" i="4"/>
  <c r="AM98" i="4"/>
  <c r="AN98" i="4"/>
  <c r="AO98" i="4"/>
  <c r="AP98" i="4"/>
  <c r="AQ98" i="4"/>
  <c r="AR98" i="4"/>
  <c r="AA99" i="4"/>
  <c r="AB99" i="4"/>
  <c r="AC99" i="4"/>
  <c r="AD99" i="4"/>
  <c r="AE99" i="4"/>
  <c r="AF99" i="4"/>
  <c r="AG99" i="4"/>
  <c r="AH99" i="4"/>
  <c r="AJ99" i="4"/>
  <c r="AK99" i="4"/>
  <c r="AL99" i="4"/>
  <c r="AM99" i="4"/>
  <c r="AN99" i="4"/>
  <c r="AO99" i="4"/>
  <c r="AP99" i="4"/>
  <c r="AQ99" i="4"/>
  <c r="AR99" i="4"/>
  <c r="AA100" i="4"/>
  <c r="AB100" i="4"/>
  <c r="AC100" i="4"/>
  <c r="AD100" i="4"/>
  <c r="AE100" i="4"/>
  <c r="AF100" i="4"/>
  <c r="AG100" i="4"/>
  <c r="AH100" i="4"/>
  <c r="AJ100" i="4"/>
  <c r="AK100" i="4"/>
  <c r="AL100" i="4"/>
  <c r="AM100" i="4"/>
  <c r="AN100" i="4"/>
  <c r="AO100" i="4"/>
  <c r="AP100" i="4"/>
  <c r="AQ100" i="4"/>
  <c r="AR100" i="4"/>
  <c r="AA101" i="4"/>
  <c r="AB101" i="4"/>
  <c r="AC101" i="4"/>
  <c r="AD101" i="4"/>
  <c r="AE101" i="4"/>
  <c r="AF101" i="4"/>
  <c r="AG101" i="4"/>
  <c r="AH101" i="4"/>
  <c r="AJ101" i="4"/>
  <c r="AK101" i="4"/>
  <c r="AL101" i="4"/>
  <c r="AM101" i="4"/>
  <c r="AN101" i="4"/>
  <c r="AO101" i="4"/>
  <c r="AP101" i="4"/>
  <c r="AQ101" i="4"/>
  <c r="AR101" i="4"/>
  <c r="AA102" i="4"/>
  <c r="AB102" i="4"/>
  <c r="AC102" i="4"/>
  <c r="AD102" i="4"/>
  <c r="AE102" i="4"/>
  <c r="AF102" i="4"/>
  <c r="AG102" i="4"/>
  <c r="AH102" i="4"/>
  <c r="AJ102" i="4"/>
  <c r="AK102" i="4"/>
  <c r="AL102" i="4"/>
  <c r="AM102" i="4"/>
  <c r="AN102" i="4"/>
  <c r="AO102" i="4"/>
  <c r="AP102" i="4"/>
  <c r="AQ102" i="4"/>
  <c r="AR102" i="4"/>
  <c r="AA103" i="4"/>
  <c r="AB103" i="4"/>
  <c r="AC103" i="4"/>
  <c r="AD103" i="4"/>
  <c r="AE103" i="4"/>
  <c r="AF103" i="4"/>
  <c r="AG103" i="4"/>
  <c r="AH103" i="4"/>
  <c r="AJ103" i="4"/>
  <c r="AK103" i="4"/>
  <c r="AL103" i="4"/>
  <c r="AM103" i="4"/>
  <c r="AN103" i="4"/>
  <c r="AO103" i="4"/>
  <c r="AP103" i="4"/>
  <c r="AQ103" i="4"/>
  <c r="AR103" i="4"/>
  <c r="AA104" i="4"/>
  <c r="AB104" i="4"/>
  <c r="AC104" i="4"/>
  <c r="AD104" i="4"/>
  <c r="AE104" i="4"/>
  <c r="AF104" i="4"/>
  <c r="AG104" i="4"/>
  <c r="AH104" i="4"/>
  <c r="AJ104" i="4"/>
  <c r="AK104" i="4"/>
  <c r="AL104" i="4"/>
  <c r="AM104" i="4"/>
  <c r="AN104" i="4"/>
  <c r="AO104" i="4"/>
  <c r="AP104" i="4"/>
  <c r="AQ104" i="4"/>
  <c r="AR104" i="4"/>
  <c r="AR96" i="4"/>
  <c r="AP96" i="4"/>
  <c r="AO96" i="4"/>
  <c r="AN96" i="4"/>
  <c r="AM96" i="4"/>
  <c r="AL96" i="4"/>
  <c r="AK96" i="4"/>
  <c r="AJ96" i="4"/>
  <c r="AH96" i="4"/>
  <c r="AG96" i="4"/>
  <c r="AF96" i="4"/>
  <c r="AD96" i="4"/>
  <c r="AC96" i="4"/>
  <c r="AB96" i="4"/>
  <c r="AA96" i="4"/>
  <c r="AA88" i="4"/>
  <c r="AB88" i="4"/>
  <c r="AC88" i="4"/>
  <c r="AD88" i="4"/>
  <c r="AE88" i="4"/>
  <c r="AF88" i="4"/>
  <c r="AG88" i="4"/>
  <c r="AH88" i="4"/>
  <c r="AJ88" i="4"/>
  <c r="AK88" i="4"/>
  <c r="AL88" i="4"/>
  <c r="AM88" i="4"/>
  <c r="AN88" i="4"/>
  <c r="AO88" i="4"/>
  <c r="AP88" i="4"/>
  <c r="AQ88" i="4"/>
  <c r="AR88" i="4"/>
  <c r="AA89" i="4"/>
  <c r="AB89" i="4"/>
  <c r="AC89" i="4"/>
  <c r="AD89" i="4"/>
  <c r="AE89" i="4"/>
  <c r="AF89" i="4"/>
  <c r="AG89" i="4"/>
  <c r="AH89" i="4"/>
  <c r="AJ89" i="4"/>
  <c r="AK89" i="4"/>
  <c r="AL89" i="4"/>
  <c r="AM89" i="4"/>
  <c r="AN89" i="4"/>
  <c r="AO89" i="4"/>
  <c r="AP89" i="4"/>
  <c r="AQ89" i="4"/>
  <c r="AR89" i="4"/>
  <c r="AA90" i="4"/>
  <c r="AB90" i="4"/>
  <c r="AC90" i="4"/>
  <c r="AD90" i="4"/>
  <c r="AE90" i="4"/>
  <c r="AF90" i="4"/>
  <c r="AG90" i="4"/>
  <c r="AH90" i="4"/>
  <c r="AJ90" i="4"/>
  <c r="AK90" i="4"/>
  <c r="AL90" i="4"/>
  <c r="AM90" i="4"/>
  <c r="AN90" i="4"/>
  <c r="AO90" i="4"/>
  <c r="AP90" i="4"/>
  <c r="AQ90" i="4"/>
  <c r="AR90" i="4"/>
  <c r="AA91" i="4"/>
  <c r="AB91" i="4"/>
  <c r="AC91" i="4"/>
  <c r="AD91" i="4"/>
  <c r="AE91" i="4"/>
  <c r="AF91" i="4"/>
  <c r="AG91" i="4"/>
  <c r="AH91" i="4"/>
  <c r="AJ91" i="4"/>
  <c r="AK91" i="4"/>
  <c r="AL91" i="4"/>
  <c r="AM91" i="4"/>
  <c r="AN91" i="4"/>
  <c r="AO91" i="4"/>
  <c r="AP91" i="4"/>
  <c r="AQ91" i="4"/>
  <c r="AR91" i="4"/>
  <c r="AR87" i="4"/>
  <c r="AP87" i="4"/>
  <c r="AO87" i="4"/>
  <c r="AN87" i="4"/>
  <c r="AM87" i="4"/>
  <c r="AL87" i="4"/>
  <c r="AK87" i="4"/>
  <c r="AJ87" i="4"/>
  <c r="AH87" i="4"/>
  <c r="AG87" i="4"/>
  <c r="AF87" i="4"/>
  <c r="AD87" i="4"/>
  <c r="AC87" i="4"/>
  <c r="AB87" i="4"/>
  <c r="AA87" i="4"/>
  <c r="AA53" i="4"/>
  <c r="AB53" i="4"/>
  <c r="AC53" i="4"/>
  <c r="AD53" i="4"/>
  <c r="AF53" i="4"/>
  <c r="AG53" i="4"/>
  <c r="AH53" i="4"/>
  <c r="AJ53" i="4"/>
  <c r="AK53" i="4"/>
  <c r="AL53" i="4"/>
  <c r="AM53" i="4"/>
  <c r="AN53" i="4"/>
  <c r="AO53" i="4"/>
  <c r="AP53" i="4"/>
  <c r="AR53" i="4"/>
  <c r="AA54" i="4"/>
  <c r="AB54" i="4"/>
  <c r="AC54" i="4"/>
  <c r="AD54" i="4"/>
  <c r="AE54" i="4"/>
  <c r="AF54" i="4"/>
  <c r="AG54" i="4"/>
  <c r="AH54" i="4"/>
  <c r="AJ54" i="4"/>
  <c r="AK54" i="4"/>
  <c r="AL54" i="4"/>
  <c r="AM54" i="4"/>
  <c r="AN54" i="4"/>
  <c r="AO54" i="4"/>
  <c r="AP54" i="4"/>
  <c r="AQ54" i="4"/>
  <c r="AR54" i="4"/>
  <c r="AA55" i="4"/>
  <c r="AB55" i="4"/>
  <c r="AC55" i="4"/>
  <c r="AD55" i="4"/>
  <c r="AE55" i="4"/>
  <c r="AF55" i="4"/>
  <c r="AG55" i="4"/>
  <c r="AH55" i="4"/>
  <c r="AJ55" i="4"/>
  <c r="AK55" i="4"/>
  <c r="AL55" i="4"/>
  <c r="AM55" i="4"/>
  <c r="AN55" i="4"/>
  <c r="AO55" i="4"/>
  <c r="AP55" i="4"/>
  <c r="AQ55" i="4"/>
  <c r="AR55" i="4"/>
  <c r="AA56" i="4"/>
  <c r="AB56" i="4"/>
  <c r="AC56" i="4"/>
  <c r="AD56" i="4"/>
  <c r="AE56" i="4"/>
  <c r="AF56" i="4"/>
  <c r="AG56" i="4"/>
  <c r="AH56" i="4"/>
  <c r="AJ56" i="4"/>
  <c r="AK56" i="4"/>
  <c r="AL56" i="4"/>
  <c r="AM56" i="4"/>
  <c r="AN56" i="4"/>
  <c r="AO56" i="4"/>
  <c r="AP56" i="4"/>
  <c r="AQ56" i="4"/>
  <c r="AR56" i="4"/>
  <c r="AA57" i="4"/>
  <c r="AB57" i="4"/>
  <c r="AC57" i="4"/>
  <c r="AD57" i="4"/>
  <c r="AE57" i="4"/>
  <c r="AF57" i="4"/>
  <c r="AG57" i="4"/>
  <c r="AH57" i="4"/>
  <c r="AJ57" i="4"/>
  <c r="AK57" i="4"/>
  <c r="AL57" i="4"/>
  <c r="AM57" i="4"/>
  <c r="AN57" i="4"/>
  <c r="AO57" i="4"/>
  <c r="AP57" i="4"/>
  <c r="AQ57" i="4"/>
  <c r="AR57" i="4"/>
  <c r="AA58" i="4"/>
  <c r="AB58" i="4"/>
  <c r="AC58" i="4"/>
  <c r="AD58" i="4"/>
  <c r="AE58" i="4"/>
  <c r="AF58" i="4"/>
  <c r="AG58" i="4"/>
  <c r="AH58" i="4"/>
  <c r="AJ58" i="4"/>
  <c r="AK58" i="4"/>
  <c r="AL58" i="4"/>
  <c r="AM58" i="4"/>
  <c r="AN58" i="4"/>
  <c r="AO58" i="4"/>
  <c r="AP58" i="4"/>
  <c r="AQ58" i="4"/>
  <c r="AR58" i="4"/>
  <c r="AA59" i="4"/>
  <c r="AB59" i="4"/>
  <c r="AC59" i="4"/>
  <c r="AD59" i="4"/>
  <c r="AE59" i="4"/>
  <c r="AF59" i="4"/>
  <c r="AG59" i="4"/>
  <c r="AH59" i="4"/>
  <c r="AJ59" i="4"/>
  <c r="AK59" i="4"/>
  <c r="AL59" i="4"/>
  <c r="AM59" i="4"/>
  <c r="AN59" i="4"/>
  <c r="AO59" i="4"/>
  <c r="AP59" i="4"/>
  <c r="AQ59" i="4"/>
  <c r="AR59" i="4"/>
  <c r="AA60" i="4"/>
  <c r="AB60" i="4"/>
  <c r="AC60" i="4"/>
  <c r="AD60" i="4"/>
  <c r="AE60" i="4"/>
  <c r="AF60" i="4"/>
  <c r="AG60" i="4"/>
  <c r="AH60" i="4"/>
  <c r="AJ60" i="4"/>
  <c r="AK60" i="4"/>
  <c r="AL60" i="4"/>
  <c r="AM60" i="4"/>
  <c r="AN60" i="4"/>
  <c r="AO60" i="4"/>
  <c r="AP60" i="4"/>
  <c r="AQ60" i="4"/>
  <c r="AR60" i="4"/>
  <c r="AA61" i="4"/>
  <c r="AB61" i="4"/>
  <c r="AC61" i="4"/>
  <c r="AD61" i="4"/>
  <c r="AE61" i="4"/>
  <c r="AF61" i="4"/>
  <c r="AG61" i="4"/>
  <c r="AH61" i="4"/>
  <c r="AJ61" i="4"/>
  <c r="AK61" i="4"/>
  <c r="AL61" i="4"/>
  <c r="AM61" i="4"/>
  <c r="AN61" i="4"/>
  <c r="AO61" i="4"/>
  <c r="AP61" i="4"/>
  <c r="AQ61" i="4"/>
  <c r="AR61" i="4"/>
  <c r="AA62" i="4"/>
  <c r="AB62" i="4"/>
  <c r="AC62" i="4"/>
  <c r="AD62" i="4"/>
  <c r="AE62" i="4"/>
  <c r="AF62" i="4"/>
  <c r="AG62" i="4"/>
  <c r="AH62" i="4"/>
  <c r="AJ62" i="4"/>
  <c r="AK62" i="4"/>
  <c r="AL62" i="4"/>
  <c r="AM62" i="4"/>
  <c r="AN62" i="4"/>
  <c r="AO62" i="4"/>
  <c r="AP62" i="4"/>
  <c r="AQ62" i="4"/>
  <c r="AR62" i="4"/>
  <c r="AA63" i="4"/>
  <c r="AB63" i="4"/>
  <c r="AC63" i="4"/>
  <c r="AD63" i="4"/>
  <c r="AE63" i="4"/>
  <c r="AF63" i="4"/>
  <c r="AG63" i="4"/>
  <c r="AH63" i="4"/>
  <c r="AJ63" i="4"/>
  <c r="AK63" i="4"/>
  <c r="AL63" i="4"/>
  <c r="AM63" i="4"/>
  <c r="AN63" i="4"/>
  <c r="AO63" i="4"/>
  <c r="AP63" i="4"/>
  <c r="AQ63" i="4"/>
  <c r="AR63" i="4"/>
  <c r="AA64" i="4"/>
  <c r="AB64" i="4"/>
  <c r="AC64" i="4"/>
  <c r="AD64" i="4"/>
  <c r="AE64" i="4"/>
  <c r="AF64" i="4"/>
  <c r="AG64" i="4"/>
  <c r="AH64" i="4"/>
  <c r="AJ64" i="4"/>
  <c r="AK64" i="4"/>
  <c r="AL64" i="4"/>
  <c r="AM64" i="4"/>
  <c r="AN64" i="4"/>
  <c r="AO64" i="4"/>
  <c r="AP64" i="4"/>
  <c r="AQ64" i="4"/>
  <c r="AR64" i="4"/>
  <c r="AA65" i="4"/>
  <c r="AB65" i="4"/>
  <c r="AC65" i="4"/>
  <c r="AD65" i="4"/>
  <c r="AE65" i="4"/>
  <c r="AF65" i="4"/>
  <c r="AG65" i="4"/>
  <c r="AH65" i="4"/>
  <c r="AJ65" i="4"/>
  <c r="AK65" i="4"/>
  <c r="AL65" i="4"/>
  <c r="AM65" i="4"/>
  <c r="AN65" i="4"/>
  <c r="AO65" i="4"/>
  <c r="AP65" i="4"/>
  <c r="AQ65" i="4"/>
  <c r="AR65" i="4"/>
  <c r="AA66" i="4"/>
  <c r="AB66" i="4"/>
  <c r="AC66" i="4"/>
  <c r="AD66" i="4"/>
  <c r="AE66" i="4"/>
  <c r="AF66" i="4"/>
  <c r="AG66" i="4"/>
  <c r="AH66" i="4"/>
  <c r="AJ66" i="4"/>
  <c r="AK66" i="4"/>
  <c r="AL66" i="4"/>
  <c r="AM66" i="4"/>
  <c r="AN66" i="4"/>
  <c r="AO66" i="4"/>
  <c r="AP66" i="4"/>
  <c r="AQ66" i="4"/>
  <c r="AR66" i="4"/>
  <c r="AA67" i="4"/>
  <c r="AB67" i="4"/>
  <c r="AC67" i="4"/>
  <c r="AD67" i="4"/>
  <c r="AE67" i="4"/>
  <c r="AF67" i="4"/>
  <c r="AG67" i="4"/>
  <c r="AH67" i="4"/>
  <c r="AJ67" i="4"/>
  <c r="AK67" i="4"/>
  <c r="AL67" i="4"/>
  <c r="AM67" i="4"/>
  <c r="AN67" i="4"/>
  <c r="AO67" i="4"/>
  <c r="AP67" i="4"/>
  <c r="AQ67" i="4"/>
  <c r="AR67" i="4"/>
  <c r="AA68" i="4"/>
  <c r="AB68" i="4"/>
  <c r="AC68" i="4"/>
  <c r="AD68" i="4"/>
  <c r="AE68" i="4"/>
  <c r="AF68" i="4"/>
  <c r="AG68" i="4"/>
  <c r="AH68" i="4"/>
  <c r="AJ68" i="4"/>
  <c r="AK68" i="4"/>
  <c r="AL68" i="4"/>
  <c r="AM68" i="4"/>
  <c r="AN68" i="4"/>
  <c r="AO68" i="4"/>
  <c r="AP68" i="4"/>
  <c r="AQ68" i="4"/>
  <c r="AR68" i="4"/>
  <c r="AA69" i="4"/>
  <c r="AB69" i="4"/>
  <c r="AC69" i="4"/>
  <c r="AD69" i="4"/>
  <c r="AE69" i="4"/>
  <c r="AF69" i="4"/>
  <c r="AG69" i="4"/>
  <c r="AH69" i="4"/>
  <c r="AJ69" i="4"/>
  <c r="AK69" i="4"/>
  <c r="AL69" i="4"/>
  <c r="AM69" i="4"/>
  <c r="AN69" i="4"/>
  <c r="AO69" i="4"/>
  <c r="AP69" i="4"/>
  <c r="AQ69" i="4"/>
  <c r="AR69" i="4"/>
  <c r="AA70" i="4"/>
  <c r="AB70" i="4"/>
  <c r="AC70" i="4"/>
  <c r="AD70" i="4"/>
  <c r="AE70" i="4"/>
  <c r="AF70" i="4"/>
  <c r="AG70" i="4"/>
  <c r="AH70" i="4"/>
  <c r="AJ70" i="4"/>
  <c r="AK70" i="4"/>
  <c r="AL70" i="4"/>
  <c r="AM70" i="4"/>
  <c r="AN70" i="4"/>
  <c r="AO70" i="4"/>
  <c r="AP70" i="4"/>
  <c r="AQ70" i="4"/>
  <c r="AR70" i="4"/>
  <c r="AA71" i="4"/>
  <c r="AB71" i="4"/>
  <c r="AC71" i="4"/>
  <c r="AD71" i="4"/>
  <c r="AE71" i="4"/>
  <c r="AF71" i="4"/>
  <c r="AG71" i="4"/>
  <c r="AH71" i="4"/>
  <c r="AJ71" i="4"/>
  <c r="AK71" i="4"/>
  <c r="AL71" i="4"/>
  <c r="AM71" i="4"/>
  <c r="AN71" i="4"/>
  <c r="AO71" i="4"/>
  <c r="AP71" i="4"/>
  <c r="AQ71" i="4"/>
  <c r="AR71" i="4"/>
  <c r="AA72" i="4"/>
  <c r="AB72" i="4"/>
  <c r="AC72" i="4"/>
  <c r="AD72" i="4"/>
  <c r="AE72" i="4"/>
  <c r="AF72" i="4"/>
  <c r="AG72" i="4"/>
  <c r="AH72" i="4"/>
  <c r="AJ72" i="4"/>
  <c r="AK72" i="4"/>
  <c r="AL72" i="4"/>
  <c r="AM72" i="4"/>
  <c r="AN72" i="4"/>
  <c r="AO72" i="4"/>
  <c r="AP72" i="4"/>
  <c r="AQ72" i="4"/>
  <c r="AR72" i="4"/>
  <c r="AA73" i="4"/>
  <c r="AB73" i="4"/>
  <c r="AC73" i="4"/>
  <c r="AD73" i="4"/>
  <c r="AE73" i="4"/>
  <c r="AF73" i="4"/>
  <c r="AG73" i="4"/>
  <c r="AH73" i="4"/>
  <c r="AJ73" i="4"/>
  <c r="AK73" i="4"/>
  <c r="AL73" i="4"/>
  <c r="AM73" i="4"/>
  <c r="AN73" i="4"/>
  <c r="AO73" i="4"/>
  <c r="AP73" i="4"/>
  <c r="AQ73" i="4"/>
  <c r="AR73" i="4"/>
  <c r="AA74" i="4"/>
  <c r="AB74" i="4"/>
  <c r="AC74" i="4"/>
  <c r="AD74" i="4"/>
  <c r="AE74" i="4"/>
  <c r="AF74" i="4"/>
  <c r="AG74" i="4"/>
  <c r="AH74" i="4"/>
  <c r="AJ74" i="4"/>
  <c r="AK74" i="4"/>
  <c r="AL74" i="4"/>
  <c r="AM74" i="4"/>
  <c r="AN74" i="4"/>
  <c r="AO74" i="4"/>
  <c r="AP74" i="4"/>
  <c r="AQ74" i="4"/>
  <c r="AR74" i="4"/>
  <c r="AA75" i="4"/>
  <c r="AB75" i="4"/>
  <c r="AC75" i="4"/>
  <c r="AD75" i="4"/>
  <c r="AE75" i="4"/>
  <c r="AF75" i="4"/>
  <c r="AG75" i="4"/>
  <c r="AH75" i="4"/>
  <c r="AJ75" i="4"/>
  <c r="AK75" i="4"/>
  <c r="AL75" i="4"/>
  <c r="AM75" i="4"/>
  <c r="AN75" i="4"/>
  <c r="AO75" i="4"/>
  <c r="AP75" i="4"/>
  <c r="AQ75" i="4"/>
  <c r="AR75" i="4"/>
  <c r="AA76" i="4"/>
  <c r="AB76" i="4"/>
  <c r="AC76" i="4"/>
  <c r="AD76" i="4"/>
  <c r="AE76" i="4"/>
  <c r="AF76" i="4"/>
  <c r="AG76" i="4"/>
  <c r="AH76" i="4"/>
  <c r="AJ76" i="4"/>
  <c r="AK76" i="4"/>
  <c r="AL76" i="4"/>
  <c r="AM76" i="4"/>
  <c r="AN76" i="4"/>
  <c r="AO76" i="4"/>
  <c r="AP76" i="4"/>
  <c r="AQ76" i="4"/>
  <c r="AR76" i="4"/>
  <c r="AA77" i="4"/>
  <c r="AB77" i="4"/>
  <c r="AC77" i="4"/>
  <c r="AD77" i="4"/>
  <c r="AE77" i="4"/>
  <c r="AF77" i="4"/>
  <c r="AG77" i="4"/>
  <c r="AH77" i="4"/>
  <c r="AJ77" i="4"/>
  <c r="AK77" i="4"/>
  <c r="AL77" i="4"/>
  <c r="AM77" i="4"/>
  <c r="AN77" i="4"/>
  <c r="AO77" i="4"/>
  <c r="AP77" i="4"/>
  <c r="AQ77" i="4"/>
  <c r="AR77" i="4"/>
  <c r="AA78" i="4"/>
  <c r="AB78" i="4"/>
  <c r="AC78" i="4"/>
  <c r="AD78" i="4"/>
  <c r="AE78" i="4"/>
  <c r="AF78" i="4"/>
  <c r="AG78" i="4"/>
  <c r="AH78" i="4"/>
  <c r="AJ78" i="4"/>
  <c r="AK78" i="4"/>
  <c r="AL78" i="4"/>
  <c r="AM78" i="4"/>
  <c r="AN78" i="4"/>
  <c r="AO78" i="4"/>
  <c r="AP78" i="4"/>
  <c r="AQ78" i="4"/>
  <c r="AR78" i="4"/>
  <c r="AA79" i="4"/>
  <c r="AB79" i="4"/>
  <c r="AC79" i="4"/>
  <c r="AD79" i="4"/>
  <c r="AE79" i="4"/>
  <c r="AF79" i="4"/>
  <c r="AG79" i="4"/>
  <c r="AH79" i="4"/>
  <c r="AJ79" i="4"/>
  <c r="AK79" i="4"/>
  <c r="AL79" i="4"/>
  <c r="AM79" i="4"/>
  <c r="AN79" i="4"/>
  <c r="AO79" i="4"/>
  <c r="AP79" i="4"/>
  <c r="AQ79" i="4"/>
  <c r="AR79" i="4"/>
  <c r="AA80" i="4"/>
  <c r="AB80" i="4"/>
  <c r="AC80" i="4"/>
  <c r="AD80" i="4"/>
  <c r="AE80" i="4"/>
  <c r="AF80" i="4"/>
  <c r="AG80" i="4"/>
  <c r="AH80" i="4"/>
  <c r="AJ80" i="4"/>
  <c r="AK80" i="4"/>
  <c r="AL80" i="4"/>
  <c r="AM80" i="4"/>
  <c r="AN80" i="4"/>
  <c r="AO80" i="4"/>
  <c r="AP80" i="4"/>
  <c r="AQ80" i="4"/>
  <c r="AR80" i="4"/>
  <c r="AQ52" i="4"/>
  <c r="AP52" i="4"/>
  <c r="AO52" i="4"/>
  <c r="AN52" i="4"/>
  <c r="AM52" i="4"/>
  <c r="AL52" i="4"/>
  <c r="AK52" i="4"/>
  <c r="AJ52" i="4"/>
  <c r="AH52" i="4"/>
  <c r="AG52" i="4"/>
  <c r="AF52" i="4"/>
  <c r="AE52" i="4"/>
  <c r="AD52" i="4"/>
  <c r="AC52" i="4"/>
  <c r="AB52" i="4"/>
  <c r="AA52" i="4"/>
  <c r="AA25" i="4"/>
  <c r="AA26" i="4"/>
  <c r="AA27" i="4"/>
  <c r="AA28" i="4"/>
  <c r="AA29" i="4"/>
  <c r="AA30" i="4"/>
  <c r="AA31" i="4"/>
  <c r="AA32" i="4"/>
  <c r="AA33" i="4"/>
  <c r="AA34" i="4"/>
  <c r="AA35" i="4"/>
  <c r="AA36" i="4"/>
  <c r="AA37" i="4"/>
  <c r="AA38" i="4"/>
  <c r="AA39" i="4"/>
  <c r="AA40" i="4"/>
  <c r="AA41" i="4"/>
  <c r="AA42" i="4"/>
  <c r="AA43" i="4"/>
  <c r="AA44" i="4"/>
  <c r="AA45" i="4"/>
  <c r="AA46" i="4"/>
  <c r="AA47" i="4"/>
  <c r="AA48"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22" i="4"/>
  <c r="AI22" i="4"/>
  <c r="AD22" i="4"/>
  <c r="AC22" i="4"/>
  <c r="Y159" i="4" l="1"/>
  <c r="F168" i="4" l="1"/>
  <c r="D168" i="4"/>
  <c r="E167" i="4"/>
  <c r="C167" i="4"/>
  <c r="B167" i="4"/>
  <c r="AB40" i="4" l="1"/>
  <c r="AC40" i="4"/>
  <c r="AD40" i="4"/>
  <c r="AF40" i="4"/>
  <c r="AG40" i="4"/>
  <c r="AH40" i="4"/>
  <c r="AJ40" i="4"/>
  <c r="AK40" i="4"/>
  <c r="AL40" i="4"/>
  <c r="AM40" i="4"/>
  <c r="AO40" i="4"/>
  <c r="AP40" i="4"/>
  <c r="AQ40" i="4"/>
  <c r="AR40" i="4"/>
  <c r="AB41" i="4"/>
  <c r="AC41" i="4"/>
  <c r="AD41" i="4"/>
  <c r="AF41" i="4"/>
  <c r="AG41" i="4"/>
  <c r="AH41" i="4"/>
  <c r="AJ41" i="4"/>
  <c r="AK41" i="4"/>
  <c r="AL41" i="4"/>
  <c r="AM41" i="4"/>
  <c r="AO41" i="4"/>
  <c r="AP41" i="4"/>
  <c r="AQ41" i="4"/>
  <c r="AR41" i="4"/>
  <c r="AB42" i="4"/>
  <c r="AC42" i="4"/>
  <c r="AD42" i="4"/>
  <c r="AF42" i="4"/>
  <c r="AG42" i="4"/>
  <c r="AH42" i="4"/>
  <c r="AJ42" i="4"/>
  <c r="AK42" i="4"/>
  <c r="AL42" i="4"/>
  <c r="AM42" i="4"/>
  <c r="AO42" i="4"/>
  <c r="AP42" i="4"/>
  <c r="AQ42" i="4"/>
  <c r="AR42" i="4"/>
  <c r="AB43" i="4"/>
  <c r="AC43" i="4"/>
  <c r="AD43" i="4"/>
  <c r="AF43" i="4"/>
  <c r="AG43" i="4"/>
  <c r="AH43" i="4"/>
  <c r="AJ43" i="4"/>
  <c r="AK43" i="4"/>
  <c r="AL43" i="4"/>
  <c r="AM43" i="4"/>
  <c r="AO43" i="4"/>
  <c r="AP43" i="4"/>
  <c r="AQ43" i="4"/>
  <c r="AR43" i="4"/>
  <c r="AB44" i="4"/>
  <c r="AC44" i="4"/>
  <c r="AD44" i="4"/>
  <c r="AF44" i="4"/>
  <c r="AG44" i="4"/>
  <c r="AH44" i="4"/>
  <c r="AJ44" i="4"/>
  <c r="AK44" i="4"/>
  <c r="AL44" i="4"/>
  <c r="AM44" i="4"/>
  <c r="AO44" i="4"/>
  <c r="AP44" i="4"/>
  <c r="AQ44" i="4"/>
  <c r="AR44" i="4"/>
  <c r="AB45" i="4"/>
  <c r="AC45" i="4"/>
  <c r="AD45" i="4"/>
  <c r="AF45" i="4"/>
  <c r="AG45" i="4"/>
  <c r="AH45" i="4"/>
  <c r="AJ45" i="4"/>
  <c r="AK45" i="4"/>
  <c r="AL45" i="4"/>
  <c r="AM45" i="4"/>
  <c r="AO45" i="4"/>
  <c r="AP45" i="4"/>
  <c r="AQ45" i="4"/>
  <c r="AR45" i="4"/>
  <c r="AB46" i="4"/>
  <c r="AC46" i="4"/>
  <c r="AD46" i="4"/>
  <c r="AF46" i="4"/>
  <c r="AG46" i="4"/>
  <c r="AH46" i="4"/>
  <c r="AJ46" i="4"/>
  <c r="AK46" i="4"/>
  <c r="AL46" i="4"/>
  <c r="AM46" i="4"/>
  <c r="AO46" i="4"/>
  <c r="AP46" i="4"/>
  <c r="AQ46" i="4"/>
  <c r="AR46" i="4"/>
  <c r="AB47" i="4"/>
  <c r="AC47" i="4"/>
  <c r="AD47" i="4"/>
  <c r="AF47" i="4"/>
  <c r="AG47" i="4"/>
  <c r="AH47" i="4"/>
  <c r="AJ47" i="4"/>
  <c r="AK47" i="4"/>
  <c r="AL47" i="4"/>
  <c r="AM47" i="4"/>
  <c r="AO47" i="4"/>
  <c r="AP47" i="4"/>
  <c r="AQ47" i="4"/>
  <c r="AR47" i="4"/>
  <c r="AB48" i="4"/>
  <c r="AC48" i="4"/>
  <c r="AD48" i="4"/>
  <c r="AF48" i="4"/>
  <c r="AG48" i="4"/>
  <c r="AH48" i="4"/>
  <c r="AJ48" i="4"/>
  <c r="AK48" i="4"/>
  <c r="AL48" i="4"/>
  <c r="AM48" i="4"/>
  <c r="AO48" i="4"/>
  <c r="AP48" i="4"/>
  <c r="AQ48" i="4"/>
  <c r="AR48" i="4"/>
  <c r="AB23" i="4"/>
  <c r="AF23" i="4"/>
  <c r="AG23" i="4"/>
  <c r="AH23" i="4"/>
  <c r="AJ23" i="4"/>
  <c r="AK23" i="4"/>
  <c r="AL23" i="4"/>
  <c r="AM23" i="4"/>
  <c r="AO23" i="4"/>
  <c r="AQ23" i="4"/>
  <c r="AR23" i="4"/>
  <c r="AB24" i="4"/>
  <c r="AC24" i="4"/>
  <c r="AD24" i="4"/>
  <c r="AF24" i="4"/>
  <c r="AG24" i="4"/>
  <c r="AH24" i="4"/>
  <c r="AJ24" i="4"/>
  <c r="AK24" i="4"/>
  <c r="AL24" i="4"/>
  <c r="AM24" i="4"/>
  <c r="AO24" i="4"/>
  <c r="AQ24" i="4"/>
  <c r="AR24" i="4"/>
  <c r="AB25" i="4"/>
  <c r="AC25" i="4"/>
  <c r="AD25" i="4"/>
  <c r="AF25" i="4"/>
  <c r="AG25" i="4"/>
  <c r="AH25" i="4"/>
  <c r="AJ25" i="4"/>
  <c r="AK25" i="4"/>
  <c r="AL25" i="4"/>
  <c r="AM25" i="4"/>
  <c r="AO25" i="4"/>
  <c r="AP25" i="4"/>
  <c r="AQ25" i="4"/>
  <c r="AR25" i="4"/>
  <c r="AB26" i="4"/>
  <c r="AC26" i="4"/>
  <c r="AD26" i="4"/>
  <c r="AF26" i="4"/>
  <c r="AG26" i="4"/>
  <c r="AH26" i="4"/>
  <c r="AJ26" i="4"/>
  <c r="AK26" i="4"/>
  <c r="AL26" i="4"/>
  <c r="AM26" i="4"/>
  <c r="AO26" i="4"/>
  <c r="AP26" i="4"/>
  <c r="AQ26" i="4"/>
  <c r="AR26" i="4"/>
  <c r="AB27" i="4"/>
  <c r="AC27" i="4"/>
  <c r="AD27" i="4"/>
  <c r="AF27" i="4"/>
  <c r="AG27" i="4"/>
  <c r="AH27" i="4"/>
  <c r="AJ27" i="4"/>
  <c r="AK27" i="4"/>
  <c r="AL27" i="4"/>
  <c r="AM27" i="4"/>
  <c r="AO27" i="4"/>
  <c r="AP27" i="4"/>
  <c r="AQ27" i="4"/>
  <c r="AR27" i="4"/>
  <c r="AB28" i="4"/>
  <c r="AC28" i="4"/>
  <c r="AD28" i="4"/>
  <c r="AF28" i="4"/>
  <c r="AG28" i="4"/>
  <c r="AH28" i="4"/>
  <c r="AJ28" i="4"/>
  <c r="AK28" i="4"/>
  <c r="AL28" i="4"/>
  <c r="AM28" i="4"/>
  <c r="AO28" i="4"/>
  <c r="AP28" i="4"/>
  <c r="AQ28" i="4"/>
  <c r="AR28" i="4"/>
  <c r="AB29" i="4"/>
  <c r="AC29" i="4"/>
  <c r="AD29" i="4"/>
  <c r="AF29" i="4"/>
  <c r="AG29" i="4"/>
  <c r="AH29" i="4"/>
  <c r="AJ29" i="4"/>
  <c r="AK29" i="4"/>
  <c r="AL29" i="4"/>
  <c r="AM29" i="4"/>
  <c r="AO29" i="4"/>
  <c r="AP29" i="4"/>
  <c r="AQ29" i="4"/>
  <c r="AR29" i="4"/>
  <c r="AB30" i="4"/>
  <c r="AC30" i="4"/>
  <c r="AD30" i="4"/>
  <c r="AF30" i="4"/>
  <c r="AG30" i="4"/>
  <c r="AH30" i="4"/>
  <c r="AJ30" i="4"/>
  <c r="AK30" i="4"/>
  <c r="AL30" i="4"/>
  <c r="AM30" i="4"/>
  <c r="AO30" i="4"/>
  <c r="AP30" i="4"/>
  <c r="AQ30" i="4"/>
  <c r="AR30" i="4"/>
  <c r="AB31" i="4"/>
  <c r="AC31" i="4"/>
  <c r="AD31" i="4"/>
  <c r="AF31" i="4"/>
  <c r="AG31" i="4"/>
  <c r="AH31" i="4"/>
  <c r="AJ31" i="4"/>
  <c r="AK31" i="4"/>
  <c r="AL31" i="4"/>
  <c r="AM31" i="4"/>
  <c r="AO31" i="4"/>
  <c r="AP31" i="4"/>
  <c r="AQ31" i="4"/>
  <c r="AR31" i="4"/>
  <c r="AB32" i="4"/>
  <c r="AC32" i="4"/>
  <c r="AD32" i="4"/>
  <c r="AF32" i="4"/>
  <c r="AG32" i="4"/>
  <c r="AH32" i="4"/>
  <c r="AJ32" i="4"/>
  <c r="AK32" i="4"/>
  <c r="AL32" i="4"/>
  <c r="AM32" i="4"/>
  <c r="AO32" i="4"/>
  <c r="AP32" i="4"/>
  <c r="AQ32" i="4"/>
  <c r="AR32" i="4"/>
  <c r="AB33" i="4"/>
  <c r="AC33" i="4"/>
  <c r="AD33" i="4"/>
  <c r="AF33" i="4"/>
  <c r="AG33" i="4"/>
  <c r="AH33" i="4"/>
  <c r="AJ33" i="4"/>
  <c r="AK33" i="4"/>
  <c r="AL33" i="4"/>
  <c r="AM33" i="4"/>
  <c r="AO33" i="4"/>
  <c r="AP33" i="4"/>
  <c r="AQ33" i="4"/>
  <c r="AR33" i="4"/>
  <c r="AB34" i="4"/>
  <c r="AC34" i="4"/>
  <c r="AD34" i="4"/>
  <c r="AF34" i="4"/>
  <c r="AG34" i="4"/>
  <c r="AH34" i="4"/>
  <c r="AJ34" i="4"/>
  <c r="AK34" i="4"/>
  <c r="AL34" i="4"/>
  <c r="AM34" i="4"/>
  <c r="AO34" i="4"/>
  <c r="AP34" i="4"/>
  <c r="AQ34" i="4"/>
  <c r="AR34" i="4"/>
  <c r="AB35" i="4"/>
  <c r="AC35" i="4"/>
  <c r="AD35" i="4"/>
  <c r="AF35" i="4"/>
  <c r="AG35" i="4"/>
  <c r="AH35" i="4"/>
  <c r="AJ35" i="4"/>
  <c r="AK35" i="4"/>
  <c r="AL35" i="4"/>
  <c r="AM35" i="4"/>
  <c r="AO35" i="4"/>
  <c r="AP35" i="4"/>
  <c r="AQ35" i="4"/>
  <c r="AR35" i="4"/>
  <c r="AB36" i="4"/>
  <c r="AC36" i="4"/>
  <c r="AD36" i="4"/>
  <c r="AF36" i="4"/>
  <c r="AG36" i="4"/>
  <c r="AH36" i="4"/>
  <c r="AJ36" i="4"/>
  <c r="AK36" i="4"/>
  <c r="AL36" i="4"/>
  <c r="AM36" i="4"/>
  <c r="AO36" i="4"/>
  <c r="AP36" i="4"/>
  <c r="AQ36" i="4"/>
  <c r="AR36" i="4"/>
  <c r="AB37" i="4"/>
  <c r="AC37" i="4"/>
  <c r="AD37" i="4"/>
  <c r="AF37" i="4"/>
  <c r="AG37" i="4"/>
  <c r="AH37" i="4"/>
  <c r="AJ37" i="4"/>
  <c r="AK37" i="4"/>
  <c r="AL37" i="4"/>
  <c r="AM37" i="4"/>
  <c r="AO37" i="4"/>
  <c r="AP37" i="4"/>
  <c r="AQ37" i="4"/>
  <c r="AR37" i="4"/>
  <c r="AB38" i="4"/>
  <c r="AC38" i="4"/>
  <c r="AD38" i="4"/>
  <c r="AF38" i="4"/>
  <c r="AG38" i="4"/>
  <c r="AH38" i="4"/>
  <c r="AJ38" i="4"/>
  <c r="AK38" i="4"/>
  <c r="AL38" i="4"/>
  <c r="AM38" i="4"/>
  <c r="AO38" i="4"/>
  <c r="AP38" i="4"/>
  <c r="AQ38" i="4"/>
  <c r="AR38" i="4"/>
  <c r="AB39" i="4"/>
  <c r="AC39" i="4"/>
  <c r="AD39" i="4"/>
  <c r="AF39" i="4"/>
  <c r="AG39" i="4"/>
  <c r="AH39" i="4"/>
  <c r="AJ39" i="4"/>
  <c r="AK39" i="4"/>
  <c r="AL39" i="4"/>
  <c r="AM39" i="4"/>
  <c r="AO39" i="4"/>
  <c r="AP39" i="4"/>
  <c r="AQ39" i="4"/>
  <c r="AR39" i="4"/>
  <c r="AR22" i="4"/>
  <c r="AQ22" i="4"/>
  <c r="AO22" i="4"/>
  <c r="AM22" i="4"/>
  <c r="AL22" i="4"/>
  <c r="AK22" i="4"/>
  <c r="AJ22" i="4"/>
  <c r="AH22" i="4"/>
  <c r="AG22" i="4"/>
  <c r="AF22" i="4"/>
  <c r="AC161" i="4" l="1"/>
  <c r="AH161" i="4"/>
  <c r="AK161" i="4"/>
  <c r="AJ161" i="4"/>
  <c r="AL161" i="4"/>
  <c r="AN161" i="4"/>
  <c r="C170" i="4" s="1"/>
  <c r="AM161" i="4"/>
  <c r="B170" i="4" s="1"/>
  <c r="AD161" i="4"/>
  <c r="AF161" i="4"/>
  <c r="AG161" i="4"/>
  <c r="AO161" i="4"/>
  <c r="E170" i="4" s="1"/>
  <c r="AB22" i="4"/>
  <c r="AB161" i="4" s="1"/>
  <c r="AB162" i="4" s="1"/>
  <c r="AD162" i="4" l="1"/>
  <c r="B171" i="4"/>
  <c r="C172" i="4" s="1"/>
  <c r="AC162" i="4"/>
  <c r="AJ162" i="4"/>
  <c r="AK162" i="4"/>
  <c r="AH162" i="4"/>
  <c r="AG162" i="4"/>
  <c r="AF162" i="4"/>
  <c r="AL162" i="4"/>
  <c r="B172" i="4" l="1"/>
  <c r="E172" i="4"/>
  <c r="E153" i="4"/>
  <c r="C145" i="4"/>
  <c r="D145" i="4" s="1"/>
  <c r="C105" i="4"/>
  <c r="E92" i="4"/>
  <c r="C92" i="4"/>
  <c r="D92" i="4" s="1"/>
  <c r="E81" i="4"/>
  <c r="C81" i="4"/>
  <c r="D81" i="4" s="1"/>
  <c r="E49" i="4"/>
  <c r="D49" i="4"/>
  <c r="F5" i="4"/>
  <c r="M5" i="4" s="1"/>
  <c r="B5" i="4"/>
  <c r="I5" i="4" s="1"/>
  <c r="B4" i="4"/>
  <c r="I4" i="4" s="1"/>
  <c r="B3" i="4"/>
  <c r="I3" i="4" s="1"/>
  <c r="F81" i="4" l="1"/>
  <c r="F92" i="4"/>
  <c r="F49" i="4"/>
  <c r="C84" i="4"/>
  <c r="F84" i="4" s="1"/>
  <c r="M23" i="4"/>
  <c r="X23" i="4" l="1"/>
  <c r="AP23" i="4" s="1"/>
  <c r="AA23" i="4"/>
  <c r="D84" i="4"/>
  <c r="C58" i="3"/>
  <c r="H58" i="5" l="1"/>
  <c r="I125" i="4"/>
  <c r="H42" i="5"/>
  <c r="N125" i="4" l="1"/>
  <c r="V125" i="4"/>
  <c r="W125" i="4"/>
  <c r="M22" i="4"/>
  <c r="X22" i="4" s="1"/>
  <c r="AP22" i="4" l="1"/>
  <c r="M149" i="4"/>
  <c r="X149" i="4" s="1"/>
  <c r="M150" i="4"/>
  <c r="X150" i="4" s="1"/>
  <c r="M151" i="4"/>
  <c r="X151" i="4" s="1"/>
  <c r="M152" i="4"/>
  <c r="X152" i="4" s="1"/>
  <c r="M148" i="4"/>
  <c r="X148" i="4" s="1"/>
  <c r="M141" i="4"/>
  <c r="X141" i="4" s="1"/>
  <c r="M142" i="4"/>
  <c r="X142" i="4" s="1"/>
  <c r="M143" i="4"/>
  <c r="X143" i="4" s="1"/>
  <c r="M144" i="4"/>
  <c r="X144" i="4" s="1"/>
  <c r="M140" i="4"/>
  <c r="X140" i="4" s="1"/>
  <c r="M129" i="4"/>
  <c r="X129" i="4" s="1"/>
  <c r="M130" i="4"/>
  <c r="X130" i="4" s="1"/>
  <c r="M131" i="4"/>
  <c r="X131" i="4" s="1"/>
  <c r="M132" i="4"/>
  <c r="X132" i="4" s="1"/>
  <c r="M133" i="4"/>
  <c r="X133" i="4" s="1"/>
  <c r="M134" i="4"/>
  <c r="X134" i="4" s="1"/>
  <c r="M135" i="4"/>
  <c r="X135" i="4" s="1"/>
  <c r="M136" i="4"/>
  <c r="X136" i="4" s="1"/>
  <c r="M128" i="4"/>
  <c r="M117" i="4"/>
  <c r="M118" i="4"/>
  <c r="X118" i="4" s="1"/>
  <c r="M119" i="4"/>
  <c r="X119" i="4" s="1"/>
  <c r="M120" i="4"/>
  <c r="X120" i="4" s="1"/>
  <c r="M121" i="4"/>
  <c r="X121" i="4" s="1"/>
  <c r="M122" i="4"/>
  <c r="X122" i="4" s="1"/>
  <c r="M123" i="4"/>
  <c r="X123" i="4" s="1"/>
  <c r="M124" i="4"/>
  <c r="X124" i="4" s="1"/>
  <c r="M116" i="4"/>
  <c r="X116" i="4" s="1"/>
  <c r="M108" i="4"/>
  <c r="X108" i="4" s="1"/>
  <c r="M109" i="4"/>
  <c r="X109" i="4" s="1"/>
  <c r="M110" i="4"/>
  <c r="X110" i="4" s="1"/>
  <c r="M111" i="4"/>
  <c r="X111" i="4" s="1"/>
  <c r="M112" i="4"/>
  <c r="X112" i="4" s="1"/>
  <c r="M97" i="4"/>
  <c r="X97" i="4" s="1"/>
  <c r="M98" i="4"/>
  <c r="X98" i="4" s="1"/>
  <c r="M99" i="4"/>
  <c r="X99" i="4" s="1"/>
  <c r="M100" i="4"/>
  <c r="X100" i="4" s="1"/>
  <c r="M101" i="4"/>
  <c r="X101" i="4" s="1"/>
  <c r="M102" i="4"/>
  <c r="X102" i="4" s="1"/>
  <c r="M103" i="4"/>
  <c r="X103" i="4" s="1"/>
  <c r="M104" i="4"/>
  <c r="X104" i="4" s="1"/>
  <c r="M96" i="4"/>
  <c r="M88" i="4"/>
  <c r="X88" i="4" s="1"/>
  <c r="M89" i="4"/>
  <c r="X89" i="4" s="1"/>
  <c r="M90" i="4"/>
  <c r="X90" i="4" s="1"/>
  <c r="M91" i="4"/>
  <c r="X91" i="4" s="1"/>
  <c r="M87" i="4"/>
  <c r="M53" i="4"/>
  <c r="M54" i="4"/>
  <c r="X54" i="4" s="1"/>
  <c r="M55" i="4"/>
  <c r="X55" i="4" s="1"/>
  <c r="M56" i="4"/>
  <c r="X56" i="4" s="1"/>
  <c r="M57" i="4"/>
  <c r="X57" i="4" s="1"/>
  <c r="M58" i="4"/>
  <c r="X58" i="4" s="1"/>
  <c r="M59" i="4"/>
  <c r="X59" i="4" s="1"/>
  <c r="M60" i="4"/>
  <c r="X60" i="4" s="1"/>
  <c r="M61" i="4"/>
  <c r="X61" i="4" s="1"/>
  <c r="M62" i="4"/>
  <c r="X62" i="4" s="1"/>
  <c r="M63" i="4"/>
  <c r="X63" i="4" s="1"/>
  <c r="M64" i="4"/>
  <c r="X64" i="4" s="1"/>
  <c r="M65" i="4"/>
  <c r="X65" i="4" s="1"/>
  <c r="M66" i="4"/>
  <c r="X66" i="4" s="1"/>
  <c r="M67" i="4"/>
  <c r="X67" i="4" s="1"/>
  <c r="M68" i="4"/>
  <c r="X68" i="4" s="1"/>
  <c r="M69" i="4"/>
  <c r="X69" i="4" s="1"/>
  <c r="M70" i="4"/>
  <c r="X70" i="4" s="1"/>
  <c r="M71" i="4"/>
  <c r="X71" i="4" s="1"/>
  <c r="M72" i="4"/>
  <c r="X72" i="4" s="1"/>
  <c r="M73" i="4"/>
  <c r="X73" i="4" s="1"/>
  <c r="M74" i="4"/>
  <c r="X74" i="4" s="1"/>
  <c r="M75" i="4"/>
  <c r="X75" i="4" s="1"/>
  <c r="M76" i="4"/>
  <c r="X76" i="4" s="1"/>
  <c r="M77" i="4"/>
  <c r="X77" i="4" s="1"/>
  <c r="M78" i="4"/>
  <c r="X78" i="4" s="1"/>
  <c r="M79" i="4"/>
  <c r="X79" i="4" s="1"/>
  <c r="M80" i="4"/>
  <c r="X80" i="4" s="1"/>
  <c r="M52" i="4"/>
  <c r="M24" i="4"/>
  <c r="X24" i="4" s="1"/>
  <c r="M25" i="4"/>
  <c r="X25" i="4" s="1"/>
  <c r="M26" i="4"/>
  <c r="X26" i="4" s="1"/>
  <c r="M27" i="4"/>
  <c r="X27" i="4" s="1"/>
  <c r="M28" i="4"/>
  <c r="X28" i="4" s="1"/>
  <c r="M29" i="4"/>
  <c r="X29" i="4" s="1"/>
  <c r="M30" i="4"/>
  <c r="X30" i="4" s="1"/>
  <c r="M31" i="4"/>
  <c r="X31" i="4" s="1"/>
  <c r="M32" i="4"/>
  <c r="X32" i="4" s="1"/>
  <c r="M33" i="4"/>
  <c r="X33" i="4" s="1"/>
  <c r="M34" i="4"/>
  <c r="X34" i="4" s="1"/>
  <c r="M35" i="4"/>
  <c r="X35" i="4" s="1"/>
  <c r="M36" i="4"/>
  <c r="X36" i="4" s="1"/>
  <c r="M37" i="4"/>
  <c r="X37" i="4" s="1"/>
  <c r="M38" i="4"/>
  <c r="X38" i="4" s="1"/>
  <c r="M39" i="4"/>
  <c r="X39" i="4" s="1"/>
  <c r="M40" i="4"/>
  <c r="X40" i="4" s="1"/>
  <c r="M41" i="4"/>
  <c r="X41" i="4" s="1"/>
  <c r="M42" i="4"/>
  <c r="X42" i="4" s="1"/>
  <c r="M43" i="4"/>
  <c r="X43" i="4" s="1"/>
  <c r="M44" i="4"/>
  <c r="X44" i="4" s="1"/>
  <c r="M45" i="4"/>
  <c r="X45" i="4" s="1"/>
  <c r="M46" i="4"/>
  <c r="X46" i="4" s="1"/>
  <c r="M47" i="4"/>
  <c r="X47" i="4" s="1"/>
  <c r="M48" i="4"/>
  <c r="X48" i="4" s="1"/>
  <c r="Q3" i="4"/>
  <c r="AP24" i="4" l="1"/>
  <c r="AA24" i="4"/>
  <c r="AA161" i="4" s="1"/>
  <c r="AP161" i="4"/>
  <c r="B176" i="4" s="1"/>
  <c r="X128" i="4"/>
  <c r="AR128" i="4" s="1"/>
  <c r="AI128" i="4"/>
  <c r="X117" i="4"/>
  <c r="AR117" i="4" s="1"/>
  <c r="AI117" i="4"/>
  <c r="X96" i="4"/>
  <c r="AQ96" i="4" s="1"/>
  <c r="AE96" i="4"/>
  <c r="X87" i="4"/>
  <c r="AQ87" i="4" s="1"/>
  <c r="AE87" i="4"/>
  <c r="X53" i="4"/>
  <c r="AQ53" i="4" s="1"/>
  <c r="AE53" i="4"/>
  <c r="AE161" i="4" s="1"/>
  <c r="AE162" i="4" s="1"/>
  <c r="AE163" i="4" s="1"/>
  <c r="C166" i="4" s="1"/>
  <c r="C168" i="4" s="1"/>
  <c r="X52" i="4"/>
  <c r="AR52" i="4" s="1"/>
  <c r="AI52" i="4"/>
  <c r="AI161" i="4" s="1"/>
  <c r="AI162" i="4" s="1"/>
  <c r="AI163" i="4" s="1"/>
  <c r="E166" i="4" s="1"/>
  <c r="E168" i="4" s="1"/>
  <c r="AA162" i="4"/>
  <c r="AA163" i="4" s="1"/>
  <c r="B166" i="4" s="1"/>
  <c r="B168" i="4" s="1"/>
  <c r="X153" i="4"/>
  <c r="I60" i="3"/>
  <c r="K67" i="1"/>
  <c r="J62" i="5"/>
  <c r="L51" i="5"/>
  <c r="D39" i="8"/>
  <c r="Q39" i="8" s="1"/>
  <c r="E20" i="2"/>
  <c r="M51" i="5" s="1"/>
  <c r="L6" i="8"/>
  <c r="J6" i="8"/>
  <c r="J10" i="8"/>
  <c r="L33" i="5"/>
  <c r="D28" i="8" s="1"/>
  <c r="H17" i="3"/>
  <c r="H19" i="3" s="1"/>
  <c r="H26" i="3"/>
  <c r="H34" i="3"/>
  <c r="H39" i="3"/>
  <c r="H40" i="3" s="1"/>
  <c r="J55" i="3"/>
  <c r="J53" i="8"/>
  <c r="L44" i="7" s="1"/>
  <c r="Y129" i="4"/>
  <c r="Y131" i="4"/>
  <c r="Y133" i="4"/>
  <c r="Y134" i="4"/>
  <c r="Y135" i="4"/>
  <c r="Y136" i="4"/>
  <c r="D7" i="1"/>
  <c r="C159" i="4"/>
  <c r="E157" i="4"/>
  <c r="E158" i="4"/>
  <c r="I49" i="4"/>
  <c r="N49" i="4" s="1"/>
  <c r="F32" i="2"/>
  <c r="G28" i="6"/>
  <c r="I17" i="6"/>
  <c r="L37" i="7"/>
  <c r="S53" i="8"/>
  <c r="Q53" i="8"/>
  <c r="O53" i="8"/>
  <c r="M53" i="8"/>
  <c r="K53" i="8"/>
  <c r="I53" i="8"/>
  <c r="G53" i="8"/>
  <c r="C53" i="8"/>
  <c r="I153" i="4"/>
  <c r="C153" i="4"/>
  <c r="Y152" i="4"/>
  <c r="F152" i="4"/>
  <c r="Y151" i="4"/>
  <c r="F151" i="4"/>
  <c r="Y150" i="4"/>
  <c r="F150" i="4"/>
  <c r="Y149" i="4"/>
  <c r="F149" i="4"/>
  <c r="Y148" i="4"/>
  <c r="F148" i="4"/>
  <c r="I145" i="4"/>
  <c r="U145" i="4"/>
  <c r="E145" i="4"/>
  <c r="F145" i="4" s="1"/>
  <c r="Y144" i="4"/>
  <c r="F144" i="4"/>
  <c r="Y143" i="4"/>
  <c r="F143" i="4"/>
  <c r="Y142" i="4"/>
  <c r="F142" i="4"/>
  <c r="Y141" i="4"/>
  <c r="F141" i="4"/>
  <c r="Y140" i="4"/>
  <c r="F140" i="4"/>
  <c r="I137" i="4"/>
  <c r="H42" i="3" s="1"/>
  <c r="E137" i="4"/>
  <c r="C137" i="4"/>
  <c r="D137" i="4"/>
  <c r="F136" i="4"/>
  <c r="F135" i="4"/>
  <c r="F134" i="4"/>
  <c r="F133" i="4"/>
  <c r="F132" i="4"/>
  <c r="F131" i="4"/>
  <c r="Y130" i="4"/>
  <c r="F130" i="4"/>
  <c r="F129" i="4"/>
  <c r="Y128" i="4"/>
  <c r="F128" i="4"/>
  <c r="U125" i="4"/>
  <c r="T125" i="4"/>
  <c r="S125" i="4"/>
  <c r="R125" i="4"/>
  <c r="Q125" i="4"/>
  <c r="P125" i="4"/>
  <c r="M125" i="4"/>
  <c r="O125" i="4"/>
  <c r="E125" i="4"/>
  <c r="C125" i="4"/>
  <c r="D125" i="4" s="1"/>
  <c r="Y124" i="4"/>
  <c r="F124" i="4"/>
  <c r="Y123" i="4"/>
  <c r="F123" i="4"/>
  <c r="Y122" i="4"/>
  <c r="F122" i="4"/>
  <c r="Y121" i="4"/>
  <c r="F121" i="4"/>
  <c r="Y120" i="4"/>
  <c r="F120" i="4"/>
  <c r="Y119" i="4"/>
  <c r="F119" i="4"/>
  <c r="Y118" i="4"/>
  <c r="F118" i="4"/>
  <c r="Y116" i="4"/>
  <c r="F117" i="4"/>
  <c r="F116" i="4"/>
  <c r="I113" i="4"/>
  <c r="M113" i="4" s="1"/>
  <c r="S113" i="4"/>
  <c r="E113" i="4"/>
  <c r="C113" i="4"/>
  <c r="F113" i="4" s="1"/>
  <c r="Y112" i="4"/>
  <c r="F112" i="4"/>
  <c r="Y111" i="4"/>
  <c r="F111" i="4"/>
  <c r="Y110" i="4"/>
  <c r="F110" i="4"/>
  <c r="Y109" i="4"/>
  <c r="F109" i="4"/>
  <c r="Y108" i="4"/>
  <c r="F108" i="4"/>
  <c r="I105" i="4"/>
  <c r="N105" i="4" s="1"/>
  <c r="U105" i="4"/>
  <c r="E105" i="4"/>
  <c r="F105" i="4" s="1"/>
  <c r="D105" i="4"/>
  <c r="Y104" i="4"/>
  <c r="F104" i="4"/>
  <c r="Y103" i="4"/>
  <c r="F103" i="4"/>
  <c r="Y102" i="4"/>
  <c r="F102" i="4"/>
  <c r="Y101" i="4"/>
  <c r="F101" i="4"/>
  <c r="Y100" i="4"/>
  <c r="F100" i="4"/>
  <c r="Y99" i="4"/>
  <c r="F99" i="4"/>
  <c r="Y98" i="4"/>
  <c r="F98" i="4"/>
  <c r="Y97" i="4"/>
  <c r="F97" i="4"/>
  <c r="F96" i="4"/>
  <c r="I92" i="4"/>
  <c r="N92" i="4" s="1"/>
  <c r="Y91" i="4"/>
  <c r="F91" i="4"/>
  <c r="Y90" i="4"/>
  <c r="F90" i="4"/>
  <c r="Y89" i="4"/>
  <c r="F89" i="4"/>
  <c r="F88" i="4"/>
  <c r="F87" i="4"/>
  <c r="I81" i="4"/>
  <c r="N81" i="4" s="1"/>
  <c r="P81" i="4"/>
  <c r="Y80" i="4"/>
  <c r="F80" i="4"/>
  <c r="Y79" i="4"/>
  <c r="F79" i="4"/>
  <c r="Y78" i="4"/>
  <c r="F78" i="4"/>
  <c r="Y77" i="4"/>
  <c r="F77" i="4"/>
  <c r="Y76" i="4"/>
  <c r="F76" i="4"/>
  <c r="Y75" i="4"/>
  <c r="F75" i="4"/>
  <c r="Y74" i="4"/>
  <c r="F74" i="4"/>
  <c r="Y73" i="4"/>
  <c r="F73" i="4"/>
  <c r="Y72" i="4"/>
  <c r="F72" i="4"/>
  <c r="Y71" i="4"/>
  <c r="F71" i="4"/>
  <c r="Y70" i="4"/>
  <c r="F70" i="4"/>
  <c r="Y69" i="4"/>
  <c r="F69" i="4"/>
  <c r="Y68" i="4"/>
  <c r="F68" i="4"/>
  <c r="Y67" i="4"/>
  <c r="F67" i="4"/>
  <c r="Y66" i="4"/>
  <c r="F66" i="4"/>
  <c r="Y65" i="4"/>
  <c r="F65" i="4"/>
  <c r="Y64" i="4"/>
  <c r="F64" i="4"/>
  <c r="Y63" i="4"/>
  <c r="F63" i="4"/>
  <c r="Y62" i="4"/>
  <c r="F62" i="4"/>
  <c r="Y61" i="4"/>
  <c r="F61" i="4"/>
  <c r="Y60" i="4"/>
  <c r="F60" i="4"/>
  <c r="Y59" i="4"/>
  <c r="F59" i="4"/>
  <c r="Y58" i="4"/>
  <c r="F58" i="4"/>
  <c r="Y57" i="4"/>
  <c r="F57" i="4"/>
  <c r="Y56" i="4"/>
  <c r="F56" i="4"/>
  <c r="Y55" i="4"/>
  <c r="F55" i="4"/>
  <c r="Y54" i="4"/>
  <c r="F54" i="4"/>
  <c r="F53" i="4"/>
  <c r="F52" i="4"/>
  <c r="Y48" i="4"/>
  <c r="F48" i="4"/>
  <c r="Y47" i="4"/>
  <c r="F47" i="4"/>
  <c r="Y46" i="4"/>
  <c r="F46" i="4"/>
  <c r="Y45" i="4"/>
  <c r="F45" i="4"/>
  <c r="Y44" i="4"/>
  <c r="F44" i="4"/>
  <c r="Y43" i="4"/>
  <c r="F43" i="4"/>
  <c r="Y42" i="4"/>
  <c r="F42" i="4"/>
  <c r="Y41" i="4"/>
  <c r="F41" i="4"/>
  <c r="Y40" i="4"/>
  <c r="F40" i="4"/>
  <c r="Y39" i="4"/>
  <c r="F39" i="4"/>
  <c r="Y38" i="4"/>
  <c r="F38" i="4"/>
  <c r="Y37" i="4"/>
  <c r="F37" i="4"/>
  <c r="Y36" i="4"/>
  <c r="F36" i="4"/>
  <c r="Y35" i="4"/>
  <c r="F35" i="4"/>
  <c r="Y34" i="4"/>
  <c r="F34" i="4"/>
  <c r="Y33" i="4"/>
  <c r="F33" i="4"/>
  <c r="Y32" i="4"/>
  <c r="F32" i="4"/>
  <c r="Y31" i="4"/>
  <c r="F31" i="4"/>
  <c r="Y30" i="4"/>
  <c r="F30" i="4"/>
  <c r="Y29" i="4"/>
  <c r="F29" i="4"/>
  <c r="Y28" i="4"/>
  <c r="F28" i="4"/>
  <c r="Y27" i="4"/>
  <c r="F27" i="4"/>
  <c r="Y26" i="4"/>
  <c r="F26" i="4"/>
  <c r="Y25" i="4"/>
  <c r="Y24" i="4"/>
  <c r="F24" i="4"/>
  <c r="Y23" i="4"/>
  <c r="F23" i="4"/>
  <c r="F22" i="4"/>
  <c r="R81" i="4"/>
  <c r="Y88" i="4"/>
  <c r="L57" i="5"/>
  <c r="L56" i="5"/>
  <c r="D44" i="8" s="1"/>
  <c r="Q44" i="8" s="1"/>
  <c r="L55" i="5"/>
  <c r="D43" i="8" s="1"/>
  <c r="Q43" i="8" s="1"/>
  <c r="L54" i="5"/>
  <c r="D42" i="8" s="1"/>
  <c r="Q42" i="8" s="1"/>
  <c r="L53" i="5"/>
  <c r="D41" i="8" s="1"/>
  <c r="Q41" i="8" s="1"/>
  <c r="L52" i="5"/>
  <c r="L41" i="5"/>
  <c r="D36" i="8" s="1"/>
  <c r="Q36" i="8" s="1"/>
  <c r="L40" i="5"/>
  <c r="L39" i="5"/>
  <c r="D34" i="8" s="1"/>
  <c r="Q34" i="8" s="1"/>
  <c r="L38" i="5"/>
  <c r="D33" i="8" s="1"/>
  <c r="Q33" i="8" s="1"/>
  <c r="L37" i="5"/>
  <c r="D32" i="8" s="1"/>
  <c r="L36" i="5"/>
  <c r="L35" i="5"/>
  <c r="L34" i="5"/>
  <c r="L32" i="5"/>
  <c r="D27" i="8" s="1"/>
  <c r="V13" i="7"/>
  <c r="U13" i="7"/>
  <c r="T13" i="7"/>
  <c r="S13" i="7"/>
  <c r="J58" i="5"/>
  <c r="J42" i="5"/>
  <c r="C53" i="2"/>
  <c r="E53" i="2"/>
  <c r="D53" i="2"/>
  <c r="D44" i="2"/>
  <c r="E44" i="2"/>
  <c r="C44" i="2"/>
  <c r="U27" i="7"/>
  <c r="V27" i="7"/>
  <c r="S27" i="7"/>
  <c r="O9" i="7"/>
  <c r="T27" i="7"/>
  <c r="J19" i="7"/>
  <c r="O32" i="7"/>
  <c r="O36" i="7"/>
  <c r="O35" i="7"/>
  <c r="O34" i="7"/>
  <c r="O33" i="7"/>
  <c r="K10" i="7"/>
  <c r="K12" i="7"/>
  <c r="K14" i="7"/>
  <c r="K16" i="7"/>
  <c r="O17" i="7"/>
  <c r="O15" i="7"/>
  <c r="O13" i="7"/>
  <c r="O11" i="7"/>
  <c r="O18" i="7"/>
  <c r="T24" i="7"/>
  <c r="V23" i="7"/>
  <c r="U23" i="7"/>
  <c r="T23" i="7"/>
  <c r="U24" i="7"/>
  <c r="V24" i="7"/>
  <c r="V20" i="7"/>
  <c r="U20" i="7"/>
  <c r="T20" i="7"/>
  <c r="S20" i="7"/>
  <c r="D6" i="8"/>
  <c r="G10" i="6"/>
  <c r="G8" i="6"/>
  <c r="D8" i="6"/>
  <c r="D6" i="2"/>
  <c r="C57" i="5"/>
  <c r="D24" i="2"/>
  <c r="L31" i="7"/>
  <c r="L29" i="7"/>
  <c r="I44" i="6"/>
  <c r="G39" i="3"/>
  <c r="G26" i="3"/>
  <c r="G17" i="3"/>
  <c r="G19" i="3" s="1"/>
  <c r="F7" i="1"/>
  <c r="J15" i="3" s="1"/>
  <c r="A1" i="3"/>
  <c r="A4" i="1"/>
  <c r="D24" i="8"/>
  <c r="Q24" i="8" s="1"/>
  <c r="J63" i="7"/>
  <c r="B45" i="8"/>
  <c r="B44" i="8"/>
  <c r="B43" i="8"/>
  <c r="B42" i="8"/>
  <c r="B41" i="8"/>
  <c r="B40" i="8"/>
  <c r="B39" i="8"/>
  <c r="C45" i="8"/>
  <c r="C43" i="8"/>
  <c r="C42" i="8"/>
  <c r="C41" i="8"/>
  <c r="C40" i="8"/>
  <c r="C39" i="8"/>
  <c r="C36" i="8"/>
  <c r="C35" i="8"/>
  <c r="C34" i="8"/>
  <c r="C33" i="8"/>
  <c r="C32" i="8"/>
  <c r="C31" i="8"/>
  <c r="C30" i="8"/>
  <c r="C29" i="8"/>
  <c r="C28" i="8"/>
  <c r="C27" i="8"/>
  <c r="C23" i="8"/>
  <c r="C22" i="8"/>
  <c r="C21" i="8"/>
  <c r="C20" i="8"/>
  <c r="C19" i="8"/>
  <c r="C18" i="8"/>
  <c r="C17" i="8"/>
  <c r="L33" i="7"/>
  <c r="A1" i="2"/>
  <c r="A1" i="8"/>
  <c r="P10" i="8"/>
  <c r="N10" i="8"/>
  <c r="L10" i="8"/>
  <c r="H10" i="8"/>
  <c r="L23" i="7"/>
  <c r="H30" i="3"/>
  <c r="A1" i="7"/>
  <c r="A1" i="6"/>
  <c r="A1" i="5"/>
  <c r="G8" i="3"/>
  <c r="C32" i="2"/>
  <c r="E16" i="2"/>
  <c r="E24" i="2" s="1"/>
  <c r="G34" i="3"/>
  <c r="E32" i="2"/>
  <c r="E34" i="2" s="1"/>
  <c r="D32" i="2"/>
  <c r="T53" i="8"/>
  <c r="L59" i="7" s="1"/>
  <c r="D11" i="1"/>
  <c r="E7" i="1"/>
  <c r="A3" i="1"/>
  <c r="C56" i="5"/>
  <c r="C44" i="8"/>
  <c r="V53" i="8"/>
  <c r="L55" i="7" s="1"/>
  <c r="R53" i="8"/>
  <c r="L57" i="7" s="1"/>
  <c r="P53" i="8"/>
  <c r="L50" i="7" s="1"/>
  <c r="N53" i="8"/>
  <c r="L48" i="7" s="1"/>
  <c r="L53" i="8"/>
  <c r="L46" i="7" s="1"/>
  <c r="X49" i="4"/>
  <c r="Y22" i="4"/>
  <c r="F137" i="4" l="1"/>
  <c r="S153" i="4"/>
  <c r="H46" i="3"/>
  <c r="N153" i="4"/>
  <c r="J9" i="1"/>
  <c r="C18" i="2"/>
  <c r="C23" i="2" s="1"/>
  <c r="G7" i="2"/>
  <c r="C15" i="2"/>
  <c r="B18" i="2"/>
  <c r="C47" i="8"/>
  <c r="N145" i="4"/>
  <c r="H44" i="3"/>
  <c r="AR161" i="4"/>
  <c r="AR162" i="4" s="1"/>
  <c r="Y117" i="4"/>
  <c r="D113" i="4"/>
  <c r="T113" i="4"/>
  <c r="U113" i="4"/>
  <c r="P105" i="4"/>
  <c r="S105" i="4"/>
  <c r="O105" i="4"/>
  <c r="AQ161" i="4"/>
  <c r="C176" i="4" s="1"/>
  <c r="Y87" i="4"/>
  <c r="Y96" i="4"/>
  <c r="AP162" i="4"/>
  <c r="A4" i="6"/>
  <c r="A4" i="14"/>
  <c r="A6" i="4"/>
  <c r="A3" i="14"/>
  <c r="Y53" i="4"/>
  <c r="T137" i="4"/>
  <c r="N137" i="4"/>
  <c r="S137" i="4"/>
  <c r="O113" i="4"/>
  <c r="N113" i="4"/>
  <c r="M105" i="4"/>
  <c r="Y52" i="4"/>
  <c r="B174" i="4"/>
  <c r="E176" i="4"/>
  <c r="Q81" i="4"/>
  <c r="G34" i="6"/>
  <c r="G38" i="6"/>
  <c r="N6" i="8"/>
  <c r="H10" i="6"/>
  <c r="F159" i="4"/>
  <c r="Q137" i="4"/>
  <c r="Q113" i="4"/>
  <c r="P113" i="4"/>
  <c r="R153" i="4"/>
  <c r="F125" i="4"/>
  <c r="S92" i="4"/>
  <c r="V92" i="4"/>
  <c r="W92" i="4"/>
  <c r="T81" i="4"/>
  <c r="W81" i="4"/>
  <c r="V81" i="4"/>
  <c r="H31" i="3"/>
  <c r="W105" i="4"/>
  <c r="V105" i="4"/>
  <c r="W113" i="4"/>
  <c r="V113" i="4"/>
  <c r="T92" i="4"/>
  <c r="M92" i="4"/>
  <c r="T105" i="4"/>
  <c r="O49" i="4"/>
  <c r="W49" i="4"/>
  <c r="V49" i="4"/>
  <c r="W145" i="4"/>
  <c r="V145" i="4"/>
  <c r="R105" i="4"/>
  <c r="D153" i="4"/>
  <c r="F153" i="4"/>
  <c r="P145" i="4"/>
  <c r="Q105" i="4"/>
  <c r="Q153" i="4"/>
  <c r="W153" i="4"/>
  <c r="V153" i="4"/>
  <c r="R113" i="4"/>
  <c r="H35" i="3"/>
  <c r="Y153" i="4"/>
  <c r="V137" i="4"/>
  <c r="W137" i="4"/>
  <c r="M137" i="4"/>
  <c r="M54" i="5"/>
  <c r="M35" i="5"/>
  <c r="R42" i="8"/>
  <c r="M33" i="5"/>
  <c r="M38" i="5"/>
  <c r="R43" i="8"/>
  <c r="R44" i="8"/>
  <c r="M57" i="5"/>
  <c r="R36" i="8"/>
  <c r="R39" i="8"/>
  <c r="M41" i="5"/>
  <c r="M52" i="5"/>
  <c r="M34" i="5"/>
  <c r="G27" i="6"/>
  <c r="O49" i="8"/>
  <c r="G48" i="6"/>
  <c r="P11" i="8"/>
  <c r="O34" i="8" s="1"/>
  <c r="P34" i="8" s="1"/>
  <c r="N11" i="8"/>
  <c r="M32" i="8" s="1"/>
  <c r="N32" i="8" s="1"/>
  <c r="R41" i="8"/>
  <c r="M53" i="5"/>
  <c r="M39" i="5"/>
  <c r="D45" i="8"/>
  <c r="Q45" i="8" s="1"/>
  <c r="R45" i="8" s="1"/>
  <c r="D30" i="8"/>
  <c r="Q30" i="8" s="1"/>
  <c r="R30" i="8" s="1"/>
  <c r="D49" i="8"/>
  <c r="L8" i="8"/>
  <c r="N8" i="8" s="1"/>
  <c r="E48" i="8"/>
  <c r="M48" i="8"/>
  <c r="G29" i="2"/>
  <c r="K49" i="8"/>
  <c r="K48" i="8"/>
  <c r="M49" i="8"/>
  <c r="G28" i="2"/>
  <c r="G27" i="2"/>
  <c r="G11" i="2"/>
  <c r="M36" i="5"/>
  <c r="G36" i="6"/>
  <c r="E10" i="8"/>
  <c r="L6" i="7"/>
  <c r="D48" i="8"/>
  <c r="F10" i="2"/>
  <c r="L48" i="8"/>
  <c r="E8" i="2"/>
  <c r="L49" i="8"/>
  <c r="I48" i="8"/>
  <c r="P48" i="8"/>
  <c r="F11" i="2"/>
  <c r="S35" i="7"/>
  <c r="N48" i="8"/>
  <c r="J49" i="8"/>
  <c r="J40" i="7" s="1"/>
  <c r="P49" i="8"/>
  <c r="N49" i="8"/>
  <c r="J48" i="8"/>
  <c r="E49" i="8"/>
  <c r="O48" i="8"/>
  <c r="I49" i="8"/>
  <c r="S60" i="7"/>
  <c r="R33" i="8"/>
  <c r="R34" i="8"/>
  <c r="M40" i="5"/>
  <c r="O41" i="7"/>
  <c r="P41" i="7" s="1"/>
  <c r="S41" i="7" s="1"/>
  <c r="P153" i="4"/>
  <c r="S145" i="4"/>
  <c r="P137" i="4"/>
  <c r="O137" i="4"/>
  <c r="P92" i="4"/>
  <c r="M37" i="5"/>
  <c r="M56" i="5"/>
  <c r="D29" i="8"/>
  <c r="Q29" i="8" s="1"/>
  <c r="R29" i="8" s="1"/>
  <c r="D40" i="8"/>
  <c r="Q40" i="8" s="1"/>
  <c r="R40" i="8" s="1"/>
  <c r="M55" i="5"/>
  <c r="F19" i="7"/>
  <c r="B19" i="7" s="1"/>
  <c r="D35" i="8"/>
  <c r="Q35" i="8" s="1"/>
  <c r="R35" i="8" s="1"/>
  <c r="L58" i="5"/>
  <c r="M58" i="5" s="1"/>
  <c r="L61" i="5"/>
  <c r="D31" i="8"/>
  <c r="Q31" i="8" s="1"/>
  <c r="R31" i="8" s="1"/>
  <c r="S27" i="8"/>
  <c r="L42" i="5"/>
  <c r="M42" i="5" s="1"/>
  <c r="M32" i="5"/>
  <c r="O81" i="4"/>
  <c r="O153" i="4"/>
  <c r="U153" i="4"/>
  <c r="T145" i="4"/>
  <c r="O145" i="4"/>
  <c r="M145" i="4"/>
  <c r="R145" i="4"/>
  <c r="Q145" i="4"/>
  <c r="U137" i="4"/>
  <c r="R137" i="4"/>
  <c r="O92" i="4"/>
  <c r="R92" i="4"/>
  <c r="U92" i="4"/>
  <c r="O42" i="7"/>
  <c r="P42" i="7" s="1"/>
  <c r="Q42" i="7" s="1"/>
  <c r="O43" i="7"/>
  <c r="O44" i="7"/>
  <c r="Q92" i="4"/>
  <c r="H27" i="3"/>
  <c r="I84" i="4"/>
  <c r="I85" i="4" s="1"/>
  <c r="L11" i="8"/>
  <c r="K42" i="8" s="1"/>
  <c r="L42" i="8" s="1"/>
  <c r="O40" i="7"/>
  <c r="J11" i="8"/>
  <c r="I42" i="8" s="1"/>
  <c r="J42" i="8" s="1"/>
  <c r="P6" i="8"/>
  <c r="H11" i="8"/>
  <c r="G41" i="8" s="1"/>
  <c r="R24" i="8"/>
  <c r="A3" i="5"/>
  <c r="A3" i="2"/>
  <c r="A3" i="3"/>
  <c r="A3" i="6"/>
  <c r="A3" i="8"/>
  <c r="A3" i="7"/>
  <c r="L25" i="7"/>
  <c r="L21" i="7"/>
  <c r="U81" i="4"/>
  <c r="M81" i="4"/>
  <c r="M153" i="4"/>
  <c r="T153" i="4"/>
  <c r="L27" i="7"/>
  <c r="S81" i="4"/>
  <c r="M49" i="4"/>
  <c r="X81" i="4"/>
  <c r="Y81" i="4" s="1"/>
  <c r="X105" i="4"/>
  <c r="Y105" i="4" s="1"/>
  <c r="X137" i="4"/>
  <c r="Y137" i="4" s="1"/>
  <c r="X145" i="4"/>
  <c r="Y145" i="4" s="1"/>
  <c r="Y146" i="4" s="1"/>
  <c r="X92" i="4"/>
  <c r="Y92" i="4" s="1"/>
  <c r="X125" i="4"/>
  <c r="Y125" i="4" s="1"/>
  <c r="Y132" i="4"/>
  <c r="X113" i="4"/>
  <c r="Y113" i="4" s="1"/>
  <c r="P49" i="4"/>
  <c r="T49" i="4"/>
  <c r="U49" i="4"/>
  <c r="S49" i="4"/>
  <c r="Q49" i="4"/>
  <c r="Y49" i="4"/>
  <c r="R49" i="4"/>
  <c r="A4" i="3"/>
  <c r="A4" i="2"/>
  <c r="A4" i="8"/>
  <c r="A4" i="7"/>
  <c r="A4" i="5"/>
  <c r="AQ162" i="4" l="1"/>
  <c r="R38" i="8"/>
  <c r="D26" i="8"/>
  <c r="D38" i="8"/>
  <c r="Q38" i="8"/>
  <c r="N84" i="4"/>
  <c r="O28" i="8"/>
  <c r="P28" i="8" s="1"/>
  <c r="O33" i="8"/>
  <c r="P33" i="8" s="1"/>
  <c r="O42" i="8"/>
  <c r="P42" i="8" s="1"/>
  <c r="O39" i="8"/>
  <c r="O45" i="8"/>
  <c r="P45" i="8" s="1"/>
  <c r="O36" i="8"/>
  <c r="P36" i="8" s="1"/>
  <c r="O44" i="8"/>
  <c r="P44" i="8" s="1"/>
  <c r="O24" i="8"/>
  <c r="P24" i="8" s="1"/>
  <c r="O32" i="8"/>
  <c r="P32" i="8" s="1"/>
  <c r="O41" i="8"/>
  <c r="P41" i="8" s="1"/>
  <c r="O43" i="8"/>
  <c r="P43" i="8" s="1"/>
  <c r="K30" i="8"/>
  <c r="L30" i="8" s="1"/>
  <c r="O30" i="8"/>
  <c r="P30" i="8" s="1"/>
  <c r="K28" i="8"/>
  <c r="L28" i="8" s="1"/>
  <c r="K29" i="8"/>
  <c r="L29" i="8" s="1"/>
  <c r="I30" i="8"/>
  <c r="J30" i="8" s="1"/>
  <c r="W84" i="4"/>
  <c r="V84" i="4"/>
  <c r="K32" i="8"/>
  <c r="L32" i="8" s="1"/>
  <c r="K34" i="8"/>
  <c r="L34" i="8" s="1"/>
  <c r="M39" i="8"/>
  <c r="M29" i="8"/>
  <c r="N29" i="8" s="1"/>
  <c r="M35" i="8"/>
  <c r="N35" i="8" s="1"/>
  <c r="M30" i="8"/>
  <c r="N30" i="8" s="1"/>
  <c r="M45" i="8"/>
  <c r="N45" i="8" s="1"/>
  <c r="M44" i="8"/>
  <c r="N44" i="8" s="1"/>
  <c r="M42" i="8"/>
  <c r="N42" i="8" s="1"/>
  <c r="M36" i="8"/>
  <c r="N36" i="8" s="1"/>
  <c r="M28" i="8"/>
  <c r="M41" i="8"/>
  <c r="N41" i="8" s="1"/>
  <c r="M40" i="8"/>
  <c r="N40" i="8" s="1"/>
  <c r="M33" i="8"/>
  <c r="N33" i="8" s="1"/>
  <c r="I40" i="8"/>
  <c r="J40" i="8" s="1"/>
  <c r="I33" i="8"/>
  <c r="J33" i="8" s="1"/>
  <c r="M24" i="8"/>
  <c r="N24" i="8" s="1"/>
  <c r="K39" i="8"/>
  <c r="L39" i="8" s="1"/>
  <c r="K36" i="8"/>
  <c r="L36" i="8" s="1"/>
  <c r="M43" i="8"/>
  <c r="N43" i="8" s="1"/>
  <c r="M34" i="8"/>
  <c r="N34" i="8" s="1"/>
  <c r="K40" i="8"/>
  <c r="L40" i="8" s="1"/>
  <c r="I43" i="8"/>
  <c r="J43" i="8" s="1"/>
  <c r="O31" i="8"/>
  <c r="P31" i="8" s="1"/>
  <c r="F20" i="7"/>
  <c r="Q84" i="4"/>
  <c r="R84" i="4"/>
  <c r="I41" i="8"/>
  <c r="J41" i="8" s="1"/>
  <c r="I24" i="8"/>
  <c r="J24" i="8" s="1"/>
  <c r="G40" i="8"/>
  <c r="H40" i="8" s="1"/>
  <c r="G39" i="8"/>
  <c r="H39" i="8" s="1"/>
  <c r="G30" i="8"/>
  <c r="G45" i="8"/>
  <c r="H45" i="8" s="1"/>
  <c r="E11" i="8"/>
  <c r="I39" i="8"/>
  <c r="J39" i="8" s="1"/>
  <c r="H20" i="3"/>
  <c r="O84" i="4"/>
  <c r="T84" i="4"/>
  <c r="P84" i="4"/>
  <c r="R26" i="8"/>
  <c r="G29" i="8"/>
  <c r="H29" i="8" s="1"/>
  <c r="O29" i="8"/>
  <c r="P29" i="8" s="1"/>
  <c r="K35" i="8"/>
  <c r="L35" i="8" s="1"/>
  <c r="M31" i="8"/>
  <c r="N31" i="8" s="1"/>
  <c r="O35" i="8"/>
  <c r="P35" i="8" s="1"/>
  <c r="O40" i="8"/>
  <c r="P40" i="8" s="1"/>
  <c r="Q26" i="8"/>
  <c r="S26" i="8"/>
  <c r="T27" i="8"/>
  <c r="T26" i="8" s="1"/>
  <c r="S84" i="4"/>
  <c r="U84" i="4"/>
  <c r="Q41" i="7"/>
  <c r="P44" i="7"/>
  <c r="S44" i="7" s="1"/>
  <c r="S42" i="7"/>
  <c r="P43" i="7"/>
  <c r="Q43" i="7" s="1"/>
  <c r="R41" i="7"/>
  <c r="T41" i="7" s="1"/>
  <c r="L11" i="7" s="1"/>
  <c r="K11" i="7" s="1"/>
  <c r="R42" i="7"/>
  <c r="M84" i="4"/>
  <c r="P40" i="7"/>
  <c r="S40" i="7" s="1"/>
  <c r="I36" i="8"/>
  <c r="J36" i="8" s="1"/>
  <c r="I45" i="8"/>
  <c r="J45" i="8" s="1"/>
  <c r="I32" i="8"/>
  <c r="J32" i="8" s="1"/>
  <c r="I34" i="8"/>
  <c r="J34" i="8" s="1"/>
  <c r="K43" i="8"/>
  <c r="L43" i="8" s="1"/>
  <c r="I35" i="8"/>
  <c r="J35" i="8" s="1"/>
  <c r="I29" i="8"/>
  <c r="J29" i="8" s="1"/>
  <c r="K41" i="8"/>
  <c r="L41" i="8" s="1"/>
  <c r="I44" i="8"/>
  <c r="J44" i="8" s="1"/>
  <c r="K33" i="8"/>
  <c r="L33" i="8" s="1"/>
  <c r="K24" i="8"/>
  <c r="L24" i="8" s="1"/>
  <c r="G44" i="8"/>
  <c r="H44" i="8" s="1"/>
  <c r="K45" i="8"/>
  <c r="L45" i="8" s="1"/>
  <c r="K31" i="8"/>
  <c r="L31" i="8" s="1"/>
  <c r="K44" i="8"/>
  <c r="L44" i="8" s="1"/>
  <c r="G35" i="8"/>
  <c r="I31" i="8"/>
  <c r="J31" i="8" s="1"/>
  <c r="I28" i="8"/>
  <c r="J28" i="8" s="1"/>
  <c r="G36" i="8"/>
  <c r="H36" i="8" s="1"/>
  <c r="F11" i="8"/>
  <c r="G33" i="8"/>
  <c r="H33" i="8" s="1"/>
  <c r="G34" i="8"/>
  <c r="H34" i="8" s="1"/>
  <c r="G31" i="8"/>
  <c r="H31" i="8" s="1"/>
  <c r="G24" i="8"/>
  <c r="H24" i="8" s="1"/>
  <c r="G43" i="8"/>
  <c r="G28" i="8"/>
  <c r="G42" i="8"/>
  <c r="G32" i="8"/>
  <c r="P39" i="8"/>
  <c r="H41" i="8"/>
  <c r="X84" i="4"/>
  <c r="Y84" i="4" s="1"/>
  <c r="I43" i="3"/>
  <c r="Y138" i="4"/>
  <c r="I41" i="3"/>
  <c r="Y126" i="4"/>
  <c r="I39" i="3"/>
  <c r="Y114" i="4"/>
  <c r="I34" i="3"/>
  <c r="Y106" i="4"/>
  <c r="I29" i="3"/>
  <c r="Y93" i="4"/>
  <c r="I26" i="3"/>
  <c r="Y82" i="4"/>
  <c r="I14" i="3"/>
  <c r="Y154" i="4"/>
  <c r="I45" i="3"/>
  <c r="Y50" i="4"/>
  <c r="I11" i="3"/>
  <c r="T42" i="7" l="1"/>
  <c r="L13" i="7" s="1"/>
  <c r="K13" i="7" s="1"/>
  <c r="Q44" i="7"/>
  <c r="P26" i="8"/>
  <c r="P38" i="8"/>
  <c r="M26" i="8"/>
  <c r="O26" i="8"/>
  <c r="M38" i="8"/>
  <c r="O38" i="8"/>
  <c r="N39" i="8"/>
  <c r="N38" i="8" s="1"/>
  <c r="N28" i="8"/>
  <c r="N26" i="8" s="1"/>
  <c r="E30" i="8"/>
  <c r="E39" i="8"/>
  <c r="E41" i="8"/>
  <c r="E40" i="8"/>
  <c r="H30" i="8"/>
  <c r="T51" i="8"/>
  <c r="J59" i="7" s="1"/>
  <c r="E43" i="8"/>
  <c r="E28" i="8"/>
  <c r="E35" i="8"/>
  <c r="L26" i="8"/>
  <c r="I38" i="8"/>
  <c r="J38" i="8"/>
  <c r="E36" i="8"/>
  <c r="E33" i="8"/>
  <c r="Q40" i="7"/>
  <c r="R40" i="7"/>
  <c r="T40" i="7" s="1"/>
  <c r="L9" i="7" s="1"/>
  <c r="K9" i="7" s="1"/>
  <c r="R44" i="7"/>
  <c r="T44" i="7" s="1"/>
  <c r="S43" i="7"/>
  <c r="R43" i="7"/>
  <c r="I17" i="3"/>
  <c r="E24" i="8"/>
  <c r="H35" i="8"/>
  <c r="E44" i="8"/>
  <c r="J26" i="8"/>
  <c r="K38" i="8"/>
  <c r="E45" i="8"/>
  <c r="L38" i="8"/>
  <c r="K26" i="8"/>
  <c r="E29" i="8"/>
  <c r="I26" i="8"/>
  <c r="H28" i="8"/>
  <c r="G26" i="8"/>
  <c r="H42" i="8"/>
  <c r="E42" i="8"/>
  <c r="H43" i="8"/>
  <c r="E31" i="8"/>
  <c r="H32" i="8"/>
  <c r="E32" i="8"/>
  <c r="G38" i="8"/>
  <c r="E34" i="8"/>
  <c r="T43" i="7" l="1"/>
  <c r="L15" i="7" s="1"/>
  <c r="K15" i="7" s="1"/>
  <c r="I47" i="3"/>
  <c r="J59" i="3" s="1"/>
  <c r="L17" i="7"/>
  <c r="K17" i="7" s="1"/>
  <c r="H38" i="8"/>
  <c r="H26" i="8"/>
  <c r="E38" i="8"/>
  <c r="E26" i="8"/>
  <c r="I55" i="3" l="1"/>
  <c r="I57" i="3"/>
  <c r="J26" i="3" s="1"/>
  <c r="J66" i="3"/>
  <c r="J39" i="3"/>
  <c r="J43" i="3"/>
  <c r="J41" i="3"/>
  <c r="J34" i="3"/>
  <c r="J29" i="3"/>
  <c r="J17" i="3"/>
  <c r="J45" i="3"/>
  <c r="E30" i="6" s="1"/>
  <c r="E40" i="6" s="1"/>
  <c r="D23" i="8" l="1"/>
  <c r="K23" i="8" s="1"/>
  <c r="L23" i="8" s="1"/>
  <c r="D21" i="8"/>
  <c r="O21" i="8" s="1"/>
  <c r="P21" i="8" s="1"/>
  <c r="D20" i="8"/>
  <c r="K20" i="8" s="1"/>
  <c r="L20" i="8" s="1"/>
  <c r="D19" i="8"/>
  <c r="U19" i="8" s="1"/>
  <c r="V19" i="8" s="1"/>
  <c r="V51" i="8" s="1"/>
  <c r="J55" i="7" s="1"/>
  <c r="D22" i="8"/>
  <c r="O22" i="8" s="1"/>
  <c r="P22" i="8" s="1"/>
  <c r="D18" i="8"/>
  <c r="I18" i="8" s="1"/>
  <c r="J18" i="8" s="1"/>
  <c r="D17" i="8"/>
  <c r="I17" i="8" s="1"/>
  <c r="J17" i="8" s="1"/>
  <c r="O18" i="8"/>
  <c r="P18" i="8" s="1"/>
  <c r="M18" i="8"/>
  <c r="N18" i="8" s="1"/>
  <c r="G18" i="8"/>
  <c r="H18" i="8" s="1"/>
  <c r="I23" i="8"/>
  <c r="J23" i="8" s="1"/>
  <c r="O23" i="8"/>
  <c r="P23" i="8" s="1"/>
  <c r="G21" i="8"/>
  <c r="H21" i="8" s="1"/>
  <c r="Q21" i="8"/>
  <c r="R21" i="8" s="1"/>
  <c r="Q23" i="8"/>
  <c r="R23" i="8" s="1"/>
  <c r="M23" i="8"/>
  <c r="N23" i="8" s="1"/>
  <c r="G23" i="8"/>
  <c r="J47" i="3"/>
  <c r="G30" i="6"/>
  <c r="G40" i="6" s="1"/>
  <c r="G52" i="6" s="1"/>
  <c r="J52" i="7" s="1"/>
  <c r="K21" i="8" l="1"/>
  <c r="L21" i="8" s="1"/>
  <c r="I21" i="8"/>
  <c r="J21" i="8" s="1"/>
  <c r="O20" i="8"/>
  <c r="P20" i="8" s="1"/>
  <c r="M20" i="8"/>
  <c r="N20" i="8" s="1"/>
  <c r="K22" i="8"/>
  <c r="L22" i="8" s="1"/>
  <c r="Q22" i="8"/>
  <c r="R22" i="8" s="1"/>
  <c r="G22" i="8"/>
  <c r="H22" i="8" s="1"/>
  <c r="G20" i="8"/>
  <c r="H20" i="8" s="1"/>
  <c r="O17" i="8"/>
  <c r="O16" i="8" s="1"/>
  <c r="K18" i="8"/>
  <c r="L18" i="8" s="1"/>
  <c r="G17" i="8"/>
  <c r="H17" i="8" s="1"/>
  <c r="I20" i="8"/>
  <c r="J20" i="8" s="1"/>
  <c r="J16" i="8" s="1"/>
  <c r="J47" i="8" s="1"/>
  <c r="I47" i="8" s="1"/>
  <c r="K17" i="8"/>
  <c r="L17" i="8" s="1"/>
  <c r="L16" i="8" s="1"/>
  <c r="L47" i="8" s="1"/>
  <c r="K47" i="8" s="1"/>
  <c r="M21" i="8"/>
  <c r="N21" i="8" s="1"/>
  <c r="Q20" i="8"/>
  <c r="R20" i="8" s="1"/>
  <c r="R16" i="8" s="1"/>
  <c r="R51" i="8" s="1"/>
  <c r="J57" i="7" s="1"/>
  <c r="M22" i="8"/>
  <c r="N22" i="8" s="1"/>
  <c r="D16" i="8"/>
  <c r="I22" i="8"/>
  <c r="J22" i="8" s="1"/>
  <c r="M17" i="8"/>
  <c r="N17" i="8" s="1"/>
  <c r="N16" i="8" s="1"/>
  <c r="N47" i="8" s="1"/>
  <c r="M47" i="8" s="1"/>
  <c r="E23" i="8"/>
  <c r="H23" i="8"/>
  <c r="K16" i="8" l="1"/>
  <c r="P17" i="8"/>
  <c r="P16" i="8" s="1"/>
  <c r="P47" i="8" s="1"/>
  <c r="O47" i="8" s="1"/>
  <c r="D47" i="8" s="1"/>
  <c r="E21" i="8"/>
  <c r="E20" i="8"/>
  <c r="G16" i="8"/>
  <c r="I16" i="8"/>
  <c r="E18" i="8"/>
  <c r="Q16" i="8"/>
  <c r="E17" i="8"/>
  <c r="M16" i="8"/>
  <c r="E22" i="8"/>
  <c r="H16" i="8"/>
  <c r="O60" i="7"/>
  <c r="U68" i="7" s="1"/>
  <c r="L51" i="8" s="1"/>
  <c r="J46" i="7" s="1"/>
  <c r="O61" i="7"/>
  <c r="U69" i="7" s="1"/>
  <c r="N51" i="8" s="1"/>
  <c r="J48" i="7" s="1"/>
  <c r="O59" i="7"/>
  <c r="U67" i="7" s="1"/>
  <c r="J51" i="8" s="1"/>
  <c r="E16" i="8"/>
  <c r="O62" i="7"/>
  <c r="R70" i="7" l="1"/>
  <c r="Q70" i="7"/>
  <c r="J44" i="7"/>
  <c r="H47" i="8"/>
  <c r="O58" i="7" l="1"/>
  <c r="H53" i="8"/>
  <c r="L42" i="7" s="1"/>
  <c r="T70" i="7"/>
  <c r="U70" i="7" s="1"/>
  <c r="P51" i="8" s="1"/>
  <c r="J50" i="7" s="1"/>
  <c r="H51" i="8"/>
  <c r="J42" i="7" s="1"/>
  <c r="G47" i="8"/>
  <c r="E47" i="8" s="1"/>
  <c r="Q66" i="7" l="1"/>
  <c r="R66" i="7"/>
  <c r="T66" i="7" l="1"/>
  <c r="U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Dietrich, Astrid</author>
  </authors>
  <commentList>
    <comment ref="E17" authorId="0" shapeId="0" xr:uid="{00000000-0006-0000-0900-000001000000}">
      <text>
        <r>
          <rPr>
            <sz val="8"/>
            <color indexed="81"/>
            <rFont val="Tahoma"/>
            <family val="2"/>
          </rPr>
          <t>Stolle, Simone:
Differenz ergibt sich aus Hundertstel VK-Diff. wegen Rundung Personalrelation auf 2 Nachkommastellen - ist nicht zu vermeiden</t>
        </r>
      </text>
    </comment>
  </commentList>
</comments>
</file>

<file path=xl/sharedStrings.xml><?xml version="1.0" encoding="utf-8"?>
<sst xmlns="http://schemas.openxmlformats.org/spreadsheetml/2006/main" count="1067" uniqueCount="767">
  <si>
    <t>Aufforderung zum Abschluss einer Pflegesatzvereinbarung gemäß §§ 84, 85 SGB XI</t>
  </si>
  <si>
    <t>Allgemeine Angaben</t>
  </si>
  <si>
    <t>Art der Einrichtung:</t>
  </si>
  <si>
    <t>Wohnpflegeheim</t>
  </si>
  <si>
    <t>Institutionskennzeichen:</t>
  </si>
  <si>
    <t>Allgemeine Angaben zur Pflegeeinrichtung und zum Träger</t>
  </si>
  <si>
    <t>Name der Einrichtung</t>
  </si>
  <si>
    <t>Straße</t>
  </si>
  <si>
    <t>PLZ, Ort</t>
  </si>
  <si>
    <t>Telefon</t>
  </si>
  <si>
    <t>Fax</t>
  </si>
  <si>
    <t>E-Mail</t>
  </si>
  <si>
    <t>PDL</t>
  </si>
  <si>
    <t>In Trägerschaft von:</t>
  </si>
  <si>
    <t>Name des Trägers</t>
  </si>
  <si>
    <t>Zugehörigkeit zu einer Vereinigung von Trägern von stationären Pflegeeinrichtungen im Land</t>
  </si>
  <si>
    <t>Wenn ja, welche?</t>
  </si>
  <si>
    <t>Hiermit erteilen wir o.g. Vereinigung Verhandlungsmandat</t>
  </si>
  <si>
    <t>Platzzahl der Pflegeeinrichtung entsprechend des Versorgungsvertrages:</t>
  </si>
  <si>
    <t>Pflegeeinrichtungskonzeption Stand:</t>
  </si>
  <si>
    <t>ist als Anlage beigefügt</t>
  </si>
  <si>
    <t>Vereinbarungszeitraum :</t>
  </si>
  <si>
    <t>von</t>
  </si>
  <si>
    <t>bis</t>
  </si>
  <si>
    <t>AOK PLUS</t>
  </si>
  <si>
    <t>vdek</t>
  </si>
  <si>
    <t>BKK</t>
  </si>
  <si>
    <t>IKK</t>
  </si>
  <si>
    <t>Knappschaft</t>
  </si>
  <si>
    <t>PKV</t>
  </si>
  <si>
    <t>Sonstige Sozialversicherungsträger</t>
  </si>
  <si>
    <t>Belegungsdaten</t>
  </si>
  <si>
    <t>jährliche Öffnungstage:</t>
  </si>
  <si>
    <t>Prognose ab:</t>
  </si>
  <si>
    <t>Pflegegrad</t>
  </si>
  <si>
    <t>Pflegebedürftige</t>
  </si>
  <si>
    <t>Summe</t>
  </si>
  <si>
    <t>Plätze:</t>
  </si>
  <si>
    <t>(Prognose)</t>
  </si>
  <si>
    <t>Wachkoma</t>
  </si>
  <si>
    <t>Personalstruktur der Einrichtung</t>
  </si>
  <si>
    <t>Vollkräfte</t>
  </si>
  <si>
    <t>Gesamt</t>
  </si>
  <si>
    <t xml:space="preserve"> € / Jahr / je VK</t>
  </si>
  <si>
    <t>(Stichtag)</t>
  </si>
  <si>
    <t>1.</t>
  </si>
  <si>
    <t>Pflegefachkräfte</t>
  </si>
  <si>
    <t>Pflegedienstleitung</t>
  </si>
  <si>
    <t>Pflegehilfskräfte</t>
  </si>
  <si>
    <t>Fachkraftquote</t>
  </si>
  <si>
    <t>2.</t>
  </si>
  <si>
    <t>3.</t>
  </si>
  <si>
    <t>Leitung / Verwaltung</t>
  </si>
  <si>
    <t>Verwaltungskräfte</t>
  </si>
  <si>
    <t>Gesamt Leitung / Verwaltung</t>
  </si>
  <si>
    <t>4.</t>
  </si>
  <si>
    <t>5.</t>
  </si>
  <si>
    <t>Küche</t>
  </si>
  <si>
    <t>6.</t>
  </si>
  <si>
    <t>Haustechnik</t>
  </si>
  <si>
    <t>7.</t>
  </si>
  <si>
    <t>8.</t>
  </si>
  <si>
    <t>Zusätzliche Betreuung und Aktivierung</t>
  </si>
  <si>
    <t xml:space="preserve">nach § 43b SGB XI </t>
  </si>
  <si>
    <t>*</t>
  </si>
  <si>
    <t xml:space="preserve">Um die Lesbarkeit zu vereinfachen wird auf die zusätzliche Formulierung der weiblichen Form verzichtet. Es wird darauf hingewiesen, </t>
  </si>
  <si>
    <t>dass die ausschließliche Verwendung der männlichen Form explizit als geschlechtsunabhängig verstanden werden soll.</t>
  </si>
  <si>
    <t>Sachkosten - Fremdleistungen/Leistungen des Trägers für die Pflegeeinrichtung</t>
  </si>
  <si>
    <t>Fremdleistungen</t>
  </si>
  <si>
    <t>Leistungen des Trägers</t>
  </si>
  <si>
    <t>vollständig - anteilig</t>
  </si>
  <si>
    <t>Wäscherei</t>
  </si>
  <si>
    <t>Reinigung</t>
  </si>
  <si>
    <t>Verwaltung</t>
  </si>
  <si>
    <t>Aufwendungen</t>
  </si>
  <si>
    <t>€ / Tag</t>
  </si>
  <si>
    <t>Erläuterung s. Anlage</t>
  </si>
  <si>
    <t>des letzten abgeschl.</t>
  </si>
  <si>
    <t>Prognose</t>
  </si>
  <si>
    <t>Kalenderjahres</t>
  </si>
  <si>
    <t>€</t>
  </si>
  <si>
    <t>2.1</t>
  </si>
  <si>
    <t>Lebensmittel</t>
  </si>
  <si>
    <t>2.2</t>
  </si>
  <si>
    <t>Pflegerischer Bedarf</t>
  </si>
  <si>
    <t>2.3</t>
  </si>
  <si>
    <t>Wasser, Energie, Brennstoffe</t>
  </si>
  <si>
    <t>2.4</t>
  </si>
  <si>
    <t>Verwaltungsbedarf</t>
  </si>
  <si>
    <t>2.5</t>
  </si>
  <si>
    <t>Zentrale Verwaltungsdienste</t>
  </si>
  <si>
    <t>2.6</t>
  </si>
  <si>
    <t>Betreuungsaufwand</t>
  </si>
  <si>
    <t>2.7</t>
  </si>
  <si>
    <t>Wirtschaftsbedarf</t>
  </si>
  <si>
    <t>2.8</t>
  </si>
  <si>
    <t>Steuern/Abgaben/Versicherungen</t>
  </si>
  <si>
    <t>2.9</t>
  </si>
  <si>
    <t>Wartung (keine Instandhaltung)</t>
  </si>
  <si>
    <t>2.10</t>
  </si>
  <si>
    <t>sonstige Aufwendungen</t>
  </si>
  <si>
    <t>Erläuterung     s. Anlage</t>
  </si>
  <si>
    <t xml:space="preserve">Prognose </t>
  </si>
  <si>
    <t>3.1</t>
  </si>
  <si>
    <r>
      <rPr>
        <sz val="10"/>
        <color theme="1"/>
        <rFont val="Arial"/>
        <family val="2"/>
      </rPr>
      <t>Küche</t>
    </r>
    <r>
      <rPr>
        <sz val="11"/>
        <color theme="1"/>
        <rFont val="Arial"/>
        <family val="2"/>
      </rPr>
      <t xml:space="preserve"> </t>
    </r>
    <r>
      <rPr>
        <sz val="7"/>
        <rFont val="Arial"/>
        <family val="2"/>
      </rPr>
      <t>(ohne Pkt. 2.1)</t>
    </r>
  </si>
  <si>
    <t>3.2</t>
  </si>
  <si>
    <t>3.3</t>
  </si>
  <si>
    <t>3.4</t>
  </si>
  <si>
    <t>3.5</t>
  </si>
  <si>
    <t>3.6</t>
  </si>
  <si>
    <t>3.7</t>
  </si>
  <si>
    <t>Divisor:</t>
  </si>
  <si>
    <t xml:space="preserve"> </t>
  </si>
  <si>
    <t/>
  </si>
  <si>
    <t>Anzahl der Fahrzeuge:</t>
  </si>
  <si>
    <t>a) Erbringung durch die Einrichtung</t>
  </si>
  <si>
    <t>Personalaufwand Fahrdienst</t>
  </si>
  <si>
    <t>/ Jahr</t>
  </si>
  <si>
    <t>Sachaufwand Fahrdienst</t>
  </si>
  <si>
    <t>Kraft- und Schmierstoffe</t>
  </si>
  <si>
    <t>Kfz-Versicherung/Steuer</t>
  </si>
  <si>
    <t>Kfz-Wartung/Pflege</t>
  </si>
  <si>
    <t>Fahrdienstinhaber:</t>
  </si>
  <si>
    <t>Forderungen des Trägers der Pflegeeinrichtung</t>
  </si>
  <si>
    <t>1. Personelle Ausstattung der Pflegeeinrichtung:</t>
  </si>
  <si>
    <t>Personalrelation</t>
  </si>
  <si>
    <t>Pflegegrad 1</t>
  </si>
  <si>
    <t>:</t>
  </si>
  <si>
    <t>Pflegegrad 2</t>
  </si>
  <si>
    <t>Pflegegrad 3</t>
  </si>
  <si>
    <t>Pflegegrad 4</t>
  </si>
  <si>
    <t>Pflegegrad 5</t>
  </si>
  <si>
    <t>Σ</t>
  </si>
  <si>
    <t>1:</t>
  </si>
  <si>
    <t>Leitung und Verwaltung</t>
  </si>
  <si>
    <t>Hauswirtschaft</t>
  </si>
  <si>
    <t>Einsatzstellen FSJ / Freiwillige Dienste</t>
  </si>
  <si>
    <t>Anzahl:</t>
  </si>
  <si>
    <t>2. einrichtungseinheitlicher Eigenanteil, Pflegesätze und Entgelte:</t>
  </si>
  <si>
    <t xml:space="preserve">einrichtungseinheitlicher Eigenanteil </t>
  </si>
  <si>
    <t>(ohne Ausbildungsvergütung nach § 82a SGB XI)</t>
  </si>
  <si>
    <t>Pflegesätze</t>
  </si>
  <si>
    <t>Pflegegrad 1:</t>
  </si>
  <si>
    <t>Pflegegrad 2:</t>
  </si>
  <si>
    <t>Pflegegrad 3:</t>
  </si>
  <si>
    <t>Pflegegrad 4:</t>
  </si>
  <si>
    <t>Pflegegrad 5:</t>
  </si>
  <si>
    <t>Vergütungszuschlag § 43 b SGB XI</t>
  </si>
  <si>
    <t>Entgelte</t>
  </si>
  <si>
    <t>für die Unterkunft</t>
  </si>
  <si>
    <t>für die Verpflegung</t>
  </si>
  <si>
    <t>Vergütungen gem. SGB XII</t>
  </si>
  <si>
    <t>Ergänzende Leistungen der</t>
  </si>
  <si>
    <t>Eingliederungshilfe</t>
  </si>
  <si>
    <t>Die Richtigkeit der in der Aufforderung enthaltenen Angaben wird bestätigt:</t>
  </si>
  <si>
    <t>Rechtsverbindliche Unterschrift und Stempel</t>
  </si>
  <si>
    <t>Gesamtkalkulation</t>
  </si>
  <si>
    <t>GELBER TEIL</t>
  </si>
  <si>
    <t>Gesamtplätze:</t>
  </si>
  <si>
    <t>WIRD AUS-</t>
  </si>
  <si>
    <t>Tage/Monat</t>
  </si>
  <si>
    <t>GEBLENDET</t>
  </si>
  <si>
    <t>Leistungsbetrag § 43 SGB XI (nur vollstationär):</t>
  </si>
  <si>
    <t>Aufwendungen für Leistungen im Pflegegrad 1</t>
  </si>
  <si>
    <t>Aufwendungen für Leistungen im Pflegegrad 2</t>
  </si>
  <si>
    <t>Aufwendungen für Leistungen im Pflegegrad 3</t>
  </si>
  <si>
    <t>Aufwendungen für Leistungen im Pflegegrad 4</t>
  </si>
  <si>
    <t>Aufwendungen für Leistungen im Pflegegrad 5</t>
  </si>
  <si>
    <t>Aufwendungen für die Unterkunft</t>
  </si>
  <si>
    <t>Aufwendungen für die Verpflegung</t>
  </si>
  <si>
    <t>Gesamtaufwendungen</t>
  </si>
  <si>
    <t>Plausi Ges.</t>
  </si>
  <si>
    <t>Gesamt in €</t>
  </si>
  <si>
    <t xml:space="preserve">1. </t>
  </si>
  <si>
    <t>1.1.</t>
  </si>
  <si>
    <t>1.2.</t>
  </si>
  <si>
    <t>1.3.</t>
  </si>
  <si>
    <t>1.4.</t>
  </si>
  <si>
    <t>1.5.</t>
  </si>
  <si>
    <t>1.6.</t>
  </si>
  <si>
    <t>1.7.</t>
  </si>
  <si>
    <t>Sachaufwendungen</t>
  </si>
  <si>
    <t xml:space="preserve">3. </t>
  </si>
  <si>
    <t>Fremdleistungen / Trägerleistungen</t>
  </si>
  <si>
    <t>Umsatz Leistungsbeträge § 43 SGB XI:</t>
  </si>
  <si>
    <t xml:space="preserve"> Budget Eigenanteil nach Pflegegraden:</t>
  </si>
  <si>
    <t>errechnete Pflegesätze (Tag je Platz):</t>
  </si>
  <si>
    <t>Unterkunft:</t>
  </si>
  <si>
    <t>Verpflegung:</t>
  </si>
  <si>
    <t xml:space="preserve">   (ohne Ausbildungsvergütung nach § 82a SGB XI)</t>
  </si>
  <si>
    <t>1.8.</t>
  </si>
  <si>
    <t>Einrichtungsart</t>
  </si>
  <si>
    <t>Kreuz</t>
  </si>
  <si>
    <t>Öffnungstage</t>
  </si>
  <si>
    <t>Auslastung</t>
  </si>
  <si>
    <t>Ja/Nein</t>
  </si>
  <si>
    <t xml:space="preserve">vollstationäre Pflege </t>
  </si>
  <si>
    <t>x</t>
  </si>
  <si>
    <t>ja</t>
  </si>
  <si>
    <t>4. Generation</t>
  </si>
  <si>
    <t>nein</t>
  </si>
  <si>
    <t>teilstationäre Pflege</t>
  </si>
  <si>
    <t>Kurzzeitpflege</t>
  </si>
  <si>
    <t>Pflegeeinrichtung:</t>
  </si>
  <si>
    <t>Einrichtungsleitung</t>
  </si>
  <si>
    <t>Web-Adresse</t>
  </si>
  <si>
    <t>Belegungstage</t>
  </si>
  <si>
    <t>zum Stichtag</t>
  </si>
  <si>
    <t>von:</t>
  </si>
  <si>
    <t>bis:</t>
  </si>
  <si>
    <t>Pflegebedürftige im Wachkoma (Phase F)</t>
  </si>
  <si>
    <t>Pflegebedürftige mit Ernährungssonde</t>
  </si>
  <si>
    <t>Sonstige (*siehe Hinweisblatt):</t>
  </si>
  <si>
    <t>Belegungstage/Jahr</t>
  </si>
  <si>
    <t>Pflege inklusive QM</t>
  </si>
  <si>
    <t xml:space="preserve">Gesamt Pflege </t>
  </si>
  <si>
    <t>Betreuung</t>
  </si>
  <si>
    <t>Sonstige Mitarbeiter*</t>
  </si>
  <si>
    <t>Personalnebenkosten</t>
  </si>
  <si>
    <t xml:space="preserve">Sachkosten </t>
  </si>
  <si>
    <t>Fremdleistungen / Leistungen des Trägers</t>
  </si>
  <si>
    <t>ANT am PS</t>
  </si>
  <si>
    <t>Divisor allg</t>
  </si>
  <si>
    <t>§ 43b:</t>
  </si>
  <si>
    <t>Aufwendungen für § 43b</t>
  </si>
  <si>
    <t>Pflege (inkl. PDL und QM)</t>
  </si>
  <si>
    <r>
      <t>Betreuung</t>
    </r>
    <r>
      <rPr>
        <sz val="10"/>
        <color rgb="FFFF0000"/>
        <rFont val="Arial"/>
        <family val="2"/>
      </rPr>
      <t xml:space="preserve"> </t>
    </r>
  </si>
  <si>
    <t>§ 43b SGB XI:</t>
  </si>
  <si>
    <r>
      <t xml:space="preserve">Aufwendungen für Leistungen im </t>
    </r>
    <r>
      <rPr>
        <b/>
        <sz val="10"/>
        <color theme="1"/>
        <rFont val="Arial"/>
        <family val="2"/>
      </rPr>
      <t>Pflegegrad 1</t>
    </r>
  </si>
  <si>
    <r>
      <t>Aufwendungen für Leistungen im</t>
    </r>
    <r>
      <rPr>
        <b/>
        <sz val="10"/>
        <color theme="1"/>
        <rFont val="Arial"/>
        <family val="2"/>
      </rPr>
      <t xml:space="preserve"> Pflegegrad 2</t>
    </r>
  </si>
  <si>
    <r>
      <t xml:space="preserve">Aufwendungen für Leistungen im </t>
    </r>
    <r>
      <rPr>
        <b/>
        <sz val="10"/>
        <color theme="1"/>
        <rFont val="Arial"/>
        <family val="2"/>
      </rPr>
      <t>Pflegegrad 3</t>
    </r>
  </si>
  <si>
    <r>
      <t xml:space="preserve">Aufwendungen für Leistungen im </t>
    </r>
    <r>
      <rPr>
        <b/>
        <sz val="10"/>
        <color theme="1"/>
        <rFont val="Arial"/>
        <family val="2"/>
      </rPr>
      <t>Pflegegrad 4</t>
    </r>
  </si>
  <si>
    <r>
      <t>Aufwendungen für Leistungen im</t>
    </r>
    <r>
      <rPr>
        <b/>
        <sz val="10"/>
        <color theme="1"/>
        <rFont val="Arial"/>
        <family val="2"/>
      </rPr>
      <t xml:space="preserve"> Pflegegrad 5</t>
    </r>
  </si>
  <si>
    <r>
      <t xml:space="preserve">Aufwendungen für die 
</t>
    </r>
    <r>
      <rPr>
        <b/>
        <sz val="10"/>
        <color theme="1"/>
        <rFont val="Arial"/>
        <family val="2"/>
      </rPr>
      <t>Unterkunft</t>
    </r>
  </si>
  <si>
    <r>
      <t xml:space="preserve">Aufwendungen für die 
</t>
    </r>
    <r>
      <rPr>
        <b/>
        <sz val="10"/>
        <color theme="1"/>
        <rFont val="Arial"/>
        <family val="2"/>
      </rPr>
      <t>Verpflegung</t>
    </r>
  </si>
  <si>
    <r>
      <t xml:space="preserve">Aufwendungen für 
</t>
    </r>
    <r>
      <rPr>
        <b/>
        <sz val="10"/>
        <color theme="1"/>
        <rFont val="Arial"/>
        <family val="2"/>
      </rPr>
      <t>§ 43b</t>
    </r>
  </si>
  <si>
    <t>Pflegekassen</t>
  </si>
  <si>
    <r>
      <t xml:space="preserve">Stichtag </t>
    </r>
    <r>
      <rPr>
        <sz val="10"/>
        <color theme="1"/>
        <rFont val="Arial"/>
        <family val="2"/>
      </rPr>
      <t>(Datum)</t>
    </r>
  </si>
  <si>
    <t xml:space="preserve">davon Träger der Sozialhilfe in %   </t>
  </si>
  <si>
    <t xml:space="preserve">Parteien der Pflegesatzvereinbarung (gem. § 85 Abs. 2 SGB XI) </t>
  </si>
  <si>
    <t>Anteil in %</t>
  </si>
  <si>
    <t>Zusätzliches Betreuungspersonal gem. § 43b SGB XI</t>
  </si>
  <si>
    <t>gehe weiter zu Belegung</t>
  </si>
  <si>
    <t>kalkulatorischer Auslastungsgrad:</t>
  </si>
  <si>
    <t>dauerhaft beatmungspflichtige Pflegebedürftige (ohne Phase F)</t>
  </si>
  <si>
    <t>gehe weiter zu Personalaufwendungen</t>
  </si>
  <si>
    <t>Gesamtpersonal-kosten</t>
  </si>
  <si>
    <t>Ort; Datum</t>
  </si>
  <si>
    <t xml:space="preserve">Fachkräfte </t>
  </si>
  <si>
    <t>Wäscherei / Reinigung / Sonstiges</t>
  </si>
  <si>
    <t>Gesamt Hauswirtschaft</t>
  </si>
  <si>
    <t>Berufsgenossenschaft</t>
  </si>
  <si>
    <t>Ausgleichsabgabe</t>
  </si>
  <si>
    <t>Fortbildung</t>
  </si>
  <si>
    <t>Arbeits- und Gesundheitsschutz</t>
  </si>
  <si>
    <t>Gesamt Personalnebenkosten</t>
  </si>
  <si>
    <t xml:space="preserve">ZWISCHENSUMME GESAMTPERSONALKOSTEN </t>
  </si>
  <si>
    <t>jährlich Gesamt in EUR</t>
  </si>
  <si>
    <t>—</t>
  </si>
  <si>
    <t>gehe weiter zu Sachaufwendungen</t>
  </si>
  <si>
    <t>gehe weiter zu Forderung</t>
  </si>
  <si>
    <t xml:space="preserve">Auslastung </t>
  </si>
  <si>
    <t>Beförderung teilstationäre Pflege gem. § 41 Abs. 1 SGB XI</t>
  </si>
  <si>
    <t>Platzzahl der teilstationären Pflegeeinrichtung</t>
  </si>
  <si>
    <t>Anzahl der Vollzeitkräfte gesamt</t>
  </si>
  <si>
    <t>Std./Tag</t>
  </si>
  <si>
    <t>/Jahr</t>
  </si>
  <si>
    <t>Anzahl der beförderten Tagesgäste durch fremden Fahrdienst im Durchschnitt</t>
  </si>
  <si>
    <t>Kosten Fremdanbieter:</t>
  </si>
  <si>
    <t>gehe weiter zu Gesamtkalkulation</t>
  </si>
  <si>
    <t>9.</t>
  </si>
  <si>
    <t>Besondere Versorgungssituation</t>
  </si>
  <si>
    <t>10.</t>
  </si>
  <si>
    <t>gehe weiter zu Beförderung</t>
  </si>
  <si>
    <t>a) Anzahl der beförderten Gäste durch eigenen Fahrdienst im Durchschnitt</t>
  </si>
  <si>
    <t>Zeitaufwand pro Fahrer am Tag:</t>
  </si>
  <si>
    <t>prognostisch ab</t>
  </si>
  <si>
    <t>Gesamt Betreuung</t>
  </si>
  <si>
    <t>Mitarbeiter Beförderung (teilstationäre Pflege)</t>
  </si>
  <si>
    <t>Hinweise zu den Sachaufwendungen, Fremdleistungen und Leistungen des Trägers für die Pflegeeinrichtung</t>
  </si>
  <si>
    <t>Definition:</t>
  </si>
  <si>
    <r>
      <rPr>
        <b/>
        <sz val="10"/>
        <color theme="1"/>
        <rFont val="Arial"/>
        <family val="2"/>
      </rPr>
      <t>Fremdleistungen</t>
    </r>
    <r>
      <rPr>
        <sz val="10"/>
        <color theme="1"/>
        <rFont val="Arial"/>
        <family val="2"/>
      </rPr>
      <t xml:space="preserve"> sind Leistungen durch Dritte</t>
    </r>
  </si>
  <si>
    <r>
      <rPr>
        <b/>
        <sz val="10"/>
        <color theme="1"/>
        <rFont val="Arial"/>
        <family val="2"/>
      </rPr>
      <t>Leistungen des Trägers</t>
    </r>
    <r>
      <rPr>
        <sz val="10"/>
        <color theme="1"/>
        <rFont val="Arial"/>
        <family val="2"/>
      </rPr>
      <t xml:space="preserve"> sind Leistungen, die nicht durch Personal der Einrichtung, sondern beim bzw. durch den Träger erbracht werden.</t>
    </r>
  </si>
  <si>
    <r>
      <t xml:space="preserve">In der auszufüllenden Übersicht sind ausschließlich Sachaufwendungen einzutragen, die </t>
    </r>
    <r>
      <rPr>
        <b/>
        <u/>
        <sz val="10"/>
        <rFont val="Arial"/>
        <family val="2"/>
      </rPr>
      <t>nicht</t>
    </r>
    <r>
      <rPr>
        <b/>
        <sz val="10"/>
        <rFont val="Arial"/>
        <family val="2"/>
      </rPr>
      <t xml:space="preserve"> durch das in der Pflegeeinrichtung beschäftigte Personal erbracht werden.</t>
    </r>
  </si>
  <si>
    <t>Erhebliche Steigerungen zu den Aufwendungen des letzten abgeschlossenen Kalenderjahres sollen in den Erläuterungen zum Antrag als Anlage dargestellt und begründet werden.</t>
  </si>
  <si>
    <t>Sachkostenposition</t>
  </si>
  <si>
    <t>Inhalt (Aufzählungen sind nicht abschließend)</t>
  </si>
  <si>
    <t>Bemerkungen</t>
  </si>
  <si>
    <t>- Lebensmittel 
- Getränke
- hochkalorische Lebensmittel
- diätische Lebensmittel
- Lebensmittelaufwand für fremdbezogene Verpflegung</t>
  </si>
  <si>
    <t>- keine Sondennahrung
- keine Lebensmittel für Externe (Betreutes Wohnen, Kindergarten o.Ä.)
- bei Fremdbezug der Verpflegung nur Lebensmittel, im übrigen siehe Fremdleistung Küche</t>
  </si>
  <si>
    <t>pflegerischer Bedarf</t>
  </si>
  <si>
    <t>- zum Verbrauch bestimmte Pflegehilfsmittel (z.B. Desinfektionsmittel, saugende Bettschutzeinlagen zum Einmalgebrauch, Schutzbekleidung wie Fingerlinge, Einmalhandschuhe, Mundschutz und Schutzschürzen)
- Pflegedokumentation (auch Software) einschließlich Wartung und Pflege der Software (z.B. Updates, Hotlines) 
- Fachliteratur "Pflege" 
- Erste-Hilfe-Ausstattung</t>
  </si>
  <si>
    <t>- kein Inkontinenzmaterial nach SGB V
- keine sonstigen Hilfsmittel nach SGB V
- aktivierungsfähige Pflegehilfsmittel (z.B. Antidekubitussysteme -sofern keine SGB V-Leistung-, Kopfwaschanlagen, Bettpfannen) werden über Investitionskosten finanziert 
- Anschaffung der Hardware der Pflegedokumentation über Investkosten
- kein Aufwand für die übliche Körper- und Gesundheitspflege (z.B. Friseur, Monatshygiene, persönliche Toilettenartikel)</t>
  </si>
  <si>
    <t>Wasser / Energie / Brennstoffe</t>
  </si>
  <si>
    <t>- Wasserver- und Entsorgung (Kosten des Verbrauchs von Wasser und Kosten/Gebühren für die Entwässerung; keine Beiträge)   
- Energie (Elektrizität)
- Brennstoffe (Gas, Heizöl, Fernwärme, Kohle)
- Kraftstoffe für Versorgungsfahrten</t>
  </si>
  <si>
    <t xml:space="preserve">- bei Mietverträgen: Betriebskosten
- soweit Fremdleistungen in der Einrichtung erbracht werden, ist zur Zuordnung der Sachkostenanteile Stellung zu nehmen
- soweit durch die Einrichtung Leistungen für Dritte (z.B. Betreutes Wohnen, Kindergarten, Cafeteria) erbracht werden, sind die entsprechenden Kostenanteile abzuziehen
- soweit mehrere Versorgungsangebote unter einem Dach vorgehalten werden, sind die Kosten entsprechend zuzuordnen
- Kraftstoffe nicht für Fahrkosten der Tagespflege </t>
  </si>
  <si>
    <t xml:space="preserve">- Büromaterial
- Bankgebühren (keine Zinsen)
- Telefonkosten
- Porto
- Öffentlichkeitsarbeit
- Personalbeschaffungskosten
- Heimzeitung
- Fachliteratur (nicht Pflege)
- Reisekosten im Rahmen von Verwaltungsangelegenheiten
</t>
  </si>
  <si>
    <t>- hier nur den Verwaltungsbedarf der Einrichtung angeben, nicht aber der Zentralen Verwaltung</t>
  </si>
  <si>
    <t>Zentrale Verwaltung</t>
  </si>
  <si>
    <r>
      <t>- Rechts- und Steuerberatungskosten*
-</t>
    </r>
    <r>
      <rPr>
        <i/>
        <sz val="10"/>
        <rFont val="Arial"/>
        <family val="2"/>
      </rPr>
      <t xml:space="preserve"> </t>
    </r>
    <r>
      <rPr>
        <sz val="10"/>
        <rFont val="Arial"/>
        <family val="2"/>
      </rPr>
      <t>Anteil Geschäftsführung*
- Zentraler Einkauf*
- Zentrale (Finanz-)Buchhaltung*
- Zentrale Personalverwaltung und Gehaltsabrechnung*
- Controlling*
- Facilitymanagement*
- Zentraler Verwaltungsbedarf*
- Betriebsrat*
- Verwaltungsumlage*
- sonstige Kosten der Verwaltung des Trägers*</t>
    </r>
  </si>
  <si>
    <t>siehe Fremdleistung Verwaltung
* Der betriebsinterne Umlagenschlüssel auf die Einrichtung ist darzustellen!</t>
  </si>
  <si>
    <t>- Aufwand für pflegebezogene Betreuung und Beschäftigung (z.B. Bastelbedarf, Tageszeitung, Spiele, Tierhaltung)
- Aufwand für Gemeinschaftsveranstaltungen (z.B. Feiern, Geschenke, kulturelle Betreuung, Ausflüge, Freizeitgestaltung, Hausschmuck, Heimbücherei)</t>
  </si>
  <si>
    <t>ab 1.1.2017 mit Aufwendungen für § 43b SGB XI</t>
  </si>
  <si>
    <t>- Wäschereinigungsmittel, Pflegemittel
- Gebäude- und Raumreinigungsmittel
- Geschirrspülmittel
- Flächendesinfektionsmittel
- Seife
- Toilettenpapier
- Streusalz
- Sachmittel Gartenpflege
- Müllsäcke
- nicht aktivierungsfähige Wirtschaftsgüter</t>
  </si>
  <si>
    <t>Steuern / Abgaben / Versicherungen</t>
  </si>
  <si>
    <t>- Steuern (Grundsteuer, KfZ-Steuer)
- Abgaben und Gebühren (z.B. GEZ, GEMA, Müllentsorgung, Straßenreinigung, TÜV, Schornsteinfeger, Aufschaltung der Brandmeldeanlagen)
- Versicherungen (z.B. Gebäudehaftpflichtversicherung, KfZ-Versicherung, Betriebshaftpflichtversicherung, Elementarversicherung)
- Verbandsbeiträge</t>
  </si>
  <si>
    <t>- gilt nicht für Fahrzeuge im Rahmen der Tagespflege</t>
  </si>
  <si>
    <t>Wartung</t>
  </si>
  <si>
    <t>- Aufzug
- Pflegebetten und sonst. elektrische Geräte
- Rufanlage
- Pflegerollstühle, -rollatoren
- Pflegebadewanne, -lifter
- Kopierer
- Brandschutz- und -meldeanlagen
- Automatiktüren
- Lüftungsanlagen
- Telefonanlage
- EDV-Anlage
- technische Anlagen (z.B. Heizung)</t>
  </si>
  <si>
    <t>- keine Instandhaltung oder Instandsetzung</t>
  </si>
  <si>
    <t>Sonstige Aufwendungen</t>
  </si>
  <si>
    <t>- Aufwandsentschädigung für ehrenamtliche Mitarbeiter (soweit nicht anderweitig finanziert)
- sonstige nicht zuordenbare Kosten</t>
  </si>
  <si>
    <t>Fremdleistung Küche</t>
  </si>
  <si>
    <t>Gesamtkosten des externen Anbieters (keine Lebensmittel)</t>
  </si>
  <si>
    <t xml:space="preserve">Fremdleistung Wäsche </t>
  </si>
  <si>
    <t xml:space="preserve">Gesamtkosten des externen Anbieters </t>
  </si>
  <si>
    <t>Fremdleistung Reinigung</t>
  </si>
  <si>
    <t>Fremdleistung Haustechnik</t>
  </si>
  <si>
    <t xml:space="preserve">Gesamtkosten des externen Anbieters, auch Winterdienst und Gartenpflege </t>
  </si>
  <si>
    <t>Fremdleistung Verwaltung</t>
  </si>
  <si>
    <t>Gesamtkosten der durch Dritte/Externe erbrachten Verwaltungsleistungen, z.B. Jahresabschlusskosten, Buchführung und Lohnrechnung, Rechtsberatung</t>
  </si>
  <si>
    <t>Fremdleistung Sonstiges</t>
  </si>
  <si>
    <t xml:space="preserve">Gesamtkosten des externen Anbieters, z.B. Wachdienst, externe Betreuungsleistungen (Tiertherapie), Rezeption, Servicemitarbeiter (Hauswirtschaft) </t>
  </si>
  <si>
    <t xml:space="preserve">Adressverzeichnis der Parteien der Pflegesatzvereinbarung
gem. § 85 Abs. 2 SGB XI sowie von Vergütungen nach § 75 SGB XII
</t>
  </si>
  <si>
    <t>AOK PLUS - Die Gesundheitskasse für Sachsen und Thüringen</t>
  </si>
  <si>
    <t>Müllerstraße 41</t>
  </si>
  <si>
    <t>09113 Chemnitz</t>
  </si>
  <si>
    <t>IKK classic</t>
  </si>
  <si>
    <t>Postfach 10 02 51</t>
  </si>
  <si>
    <t>01072 Dresden</t>
  </si>
  <si>
    <t xml:space="preserve">Knappschaft </t>
  </si>
  <si>
    <t>Regionaldirektion Chemnitz</t>
  </si>
  <si>
    <t>Jagdschänkenstraße 50</t>
  </si>
  <si>
    <t>09117 Chemnitz</t>
  </si>
  <si>
    <t>Kommunaler Sozialverband Sachsen</t>
  </si>
  <si>
    <t>Arbeitsgemeinschaft Betriebskrankenkassen</t>
  </si>
  <si>
    <t>BKK-Landesverband Mitte</t>
  </si>
  <si>
    <t>Landesrepräsentanz Sachsen</t>
  </si>
  <si>
    <t>Dr.-Külz-Ring 12</t>
  </si>
  <si>
    <t>01219 Dresden</t>
  </si>
  <si>
    <t>Arbeitsgemeinschaft Ersatzkassen</t>
  </si>
  <si>
    <t>Mitglieder</t>
  </si>
  <si>
    <t>vdek - Landesvertretung Sachsen</t>
  </si>
  <si>
    <t>Glacisstr. 4</t>
  </si>
  <si>
    <t>Techniker Krankenkasse (TK)</t>
  </si>
  <si>
    <t>01099 Dresden</t>
  </si>
  <si>
    <t>DAK-Gesundheit</t>
  </si>
  <si>
    <t>Kaufmännische Krankenkasse - KKH</t>
  </si>
  <si>
    <t>Verband der Privaten Kranken-</t>
  </si>
  <si>
    <t>versicherung e.V.</t>
  </si>
  <si>
    <t xml:space="preserve">Gesamt Personalkosten </t>
  </si>
  <si>
    <t>Barmer</t>
  </si>
  <si>
    <t>Handelskrankenkasse (hkk)</t>
  </si>
  <si>
    <t>HEK - Hanseatische Krankenkasse</t>
  </si>
  <si>
    <t>Empfehlungen für Personalrelation bei NULL-Belegung</t>
  </si>
  <si>
    <t>Äquivalenzen</t>
  </si>
  <si>
    <t>PG 1</t>
  </si>
  <si>
    <t>PG 5</t>
  </si>
  <si>
    <t>PG 4</t>
  </si>
  <si>
    <t>PG 3</t>
  </si>
  <si>
    <t>PG 2</t>
  </si>
  <si>
    <t>Erläuterungen für die kleine AG! Später Verankerung in Hinweisen</t>
  </si>
  <si>
    <t>0 trifft zu</t>
  </si>
  <si>
    <t>PG</t>
  </si>
  <si>
    <t>EEA-Divisor</t>
  </si>
  <si>
    <t>AUSBLENDEN und SPERREN</t>
  </si>
  <si>
    <t>check = wenn Belegung 0 in der PG, dann ist die PR auch 0</t>
  </si>
  <si>
    <t xml:space="preserve">          = wenn Belegung nicht 0 in der PG, dann bilde die geforderte PR ab</t>
  </si>
  <si>
    <t>Fr. Bischoff Vorschlag 30.03.2017</t>
  </si>
  <si>
    <t xml:space="preserve">Hochrechnung bei Nullbelegung </t>
  </si>
  <si>
    <t>a</t>
  </si>
  <si>
    <t>b</t>
  </si>
  <si>
    <t>d</t>
  </si>
  <si>
    <t>c) rechne anhand a und b die PR für die PG unter d zurück</t>
  </si>
  <si>
    <t>a) Suche welche PG als nächstes belegt ist und zeige diesen an</t>
  </si>
  <si>
    <t>b) suche zu a (zur ausgewiesenen PG) die entsprechende PR</t>
  </si>
  <si>
    <t>check/PR</t>
  </si>
  <si>
    <t>Rothgang vst/KZP</t>
  </si>
  <si>
    <t>Faktor tst</t>
  </si>
  <si>
    <t>Leistungbetrag vst</t>
  </si>
  <si>
    <t>c = "1"</t>
  </si>
  <si>
    <t>c = "2"</t>
  </si>
  <si>
    <t>e</t>
  </si>
  <si>
    <t xml:space="preserve">    c = "2" sind die PR für die tst. PE</t>
  </si>
  <si>
    <t xml:space="preserve">    bilde die entsprechende PR ab.</t>
  </si>
  <si>
    <t>Kennzeichen Einrichtungsart:</t>
  </si>
  <si>
    <t xml:space="preserve">Freiwillige Dienste </t>
  </si>
  <si>
    <t>Anzahl</t>
  </si>
  <si>
    <t xml:space="preserve">FSJ Einsatzstellen </t>
  </si>
  <si>
    <r>
      <t>Σ</t>
    </r>
    <r>
      <rPr>
        <vertAlign val="superscript"/>
        <sz val="8"/>
        <color rgb="FF0070C0"/>
        <rFont val="Arial"/>
        <family val="2"/>
      </rPr>
      <t xml:space="preserve">VK  </t>
    </r>
    <r>
      <rPr>
        <sz val="8"/>
        <color rgb="FF0070C0"/>
        <rFont val="Arial"/>
        <family val="2"/>
      </rPr>
      <t>von Blatt 3</t>
    </r>
  </si>
  <si>
    <r>
      <t xml:space="preserve">Rechnung mit Äquvalenzen </t>
    </r>
    <r>
      <rPr>
        <sz val="10"/>
        <color theme="1"/>
        <rFont val="Arial"/>
        <family val="2"/>
      </rPr>
      <t>(Rothgang bei vst und KZP, Faktor bei tst)</t>
    </r>
  </si>
  <si>
    <t>Personalaufwendungen (ohne 1.3.)</t>
  </si>
  <si>
    <r>
      <t>Freiwillige Dienste, FSJ</t>
    </r>
    <r>
      <rPr>
        <b/>
        <sz val="10"/>
        <color rgb="FFFF0000"/>
        <rFont val="Arial"/>
        <family val="2"/>
      </rPr>
      <t xml:space="preserve"> </t>
    </r>
  </si>
  <si>
    <t xml:space="preserve">Gesamtfahrleistung in Kilometer pro Tag: </t>
  </si>
  <si>
    <t>Monat/Jahr</t>
  </si>
  <si>
    <t>Anzahl Pflegebedürftige</t>
  </si>
  <si>
    <t>(inkl. Risiko/Wagnis)</t>
  </si>
  <si>
    <t>- wie steuerrechtliche Maßgaben: 
&lt;250 € Wirtschaftsbedarf
&gt;250 € Investkosten</t>
  </si>
  <si>
    <t>check/Psatz</t>
  </si>
  <si>
    <t>g</t>
  </si>
  <si>
    <t>f = "tst"</t>
  </si>
  <si>
    <t>f = "KZP"</t>
  </si>
  <si>
    <t>Rechnung mit Äquvalenzen (Rothgang bei vst und KZP, Faktor bei tst)</t>
  </si>
  <si>
    <t>Hochrechnung der Pflegesätze bei Nullbelegung fürTP+KZP</t>
  </si>
  <si>
    <t>(KZP oder tst)</t>
  </si>
  <si>
    <t>vst. PE mit Nullbelegung =&gt; Psätze Ermittlung dr. EEE + Leistungsbetrag, Psatz für PG 1 = 0,78 von Psatz PG 2</t>
  </si>
  <si>
    <t>Überlegung:</t>
  </si>
  <si>
    <t>h</t>
  </si>
  <si>
    <t>Faktor KZP</t>
  </si>
  <si>
    <t>c = "3"</t>
  </si>
  <si>
    <t xml:space="preserve">    c = "1" sind die PR für die PE vst,WK, WPH</t>
  </si>
  <si>
    <t>"2" = tst, "1" = vst,WK, 4. Generation , "3" = KZP</t>
  </si>
  <si>
    <t>d) Abfrage, um welchen Einrichtungstyp handelt es sich; um "1" oder "2" oder 3 und</t>
  </si>
  <si>
    <t>Berechnung der PR für KZP anhand Faktor 92 e/02.08.2017/Bi</t>
  </si>
  <si>
    <t xml:space="preserve">    c = "3" sind die PR für die KZP</t>
  </si>
  <si>
    <t>Abstimmung vom 07.08.2017 mit folgender Entscheidung:</t>
  </si>
  <si>
    <t xml:space="preserve"> - die Herleitung der Psätze für tst + KZP analog der Herleitung der PR bei Nichtbelegung</t>
  </si>
  <si>
    <t xml:space="preserve">   führt in einzelnen Fällen nicht zu den gewünschten Ergebnissen (siehe Testergebnisse vom 05.08.2017)</t>
  </si>
  <si>
    <t xml:space="preserve"> =&gt; desh. ist bei KzP und tst. PE der PG 2 bis 4 zwindend zu belegen</t>
  </si>
  <si>
    <t>Erläuterung zur Verformelung:</t>
  </si>
  <si>
    <t xml:space="preserve">                b)bilde den Psatz PG 1 und PG 5 ab, sofern belegt </t>
  </si>
  <si>
    <t xml:space="preserve">                c) ist der PG 1 bzw. PG 5 nicht belegt, dann "0"</t>
  </si>
  <si>
    <t xml:space="preserve">2. (Spalte f "tst" und f "kzp") </t>
  </si>
  <si>
    <t xml:space="preserve">    gilt 1 b) dann wird der kalkulierte Psatz abgebildet</t>
  </si>
  <si>
    <t xml:space="preserve">    gilt 1 c) dann wird anhand der jeweiligen Faktoren "tst" und "kzp" </t>
  </si>
  <si>
    <t xml:space="preserve">                 der Psatz für PG 1 vom Psatz PG 2  hochgerechnet</t>
  </si>
  <si>
    <t xml:space="preserve">                 der Psatz für PG 5 vom Psatz PG 4 hochgerechnet</t>
  </si>
  <si>
    <t>3. (Spalte g)</t>
  </si>
  <si>
    <t xml:space="preserve">     bilde die Psätze PG 1 und PG 5 entsprechend des Einrichtungstyp "tst" o. </t>
  </si>
  <si>
    <t xml:space="preserve">    "KZP" ab</t>
  </si>
  <si>
    <t>4. (Spalte h)</t>
  </si>
  <si>
    <t xml:space="preserve">    bilde alle Psätze entspr. für den einrichtungstyp "tst" oder "Kzp" ab</t>
  </si>
  <si>
    <t>07.08.2017 - Ableitung der Psätze für tst. PE und KZP bei Nullbelegungen</t>
  </si>
  <si>
    <t>1. Check - a) bilde den Psatz für PG 2 - 4 ab, falls Belegung "0" dann LEER</t>
  </si>
  <si>
    <t>PR für KZP werden von Faktor für KZP abgeleitet</t>
  </si>
  <si>
    <t>Prozentsatz auf Bruttopersonalkosten</t>
  </si>
  <si>
    <t>Prozentsatz auf Sachkosten:</t>
  </si>
  <si>
    <t>Name der Einrichtung:</t>
  </si>
  <si>
    <t xml:space="preserve">Angaben für den Prognosezeitraum </t>
  </si>
  <si>
    <t>Fassung vom:</t>
  </si>
  <si>
    <t>Arbeitgeberanteile zur Sozialversicherung:</t>
  </si>
  <si>
    <t>%</t>
  </si>
  <si>
    <t>Folgenden Personalkostensteigerungen wurden in die Prognose eingearbeitet:</t>
  </si>
  <si>
    <t>Beiträge zur Altersvorsorge:</t>
  </si>
  <si>
    <t>Steigerung ab:</t>
  </si>
  <si>
    <t>PHK</t>
  </si>
  <si>
    <t>Prozent:</t>
  </si>
  <si>
    <t xml:space="preserve">stellv. PDL </t>
  </si>
  <si>
    <t>Präsenzkraft (4.Generation)</t>
  </si>
  <si>
    <t>WBL</t>
  </si>
  <si>
    <t>QM</t>
  </si>
  <si>
    <t>Stufe</t>
  </si>
  <si>
    <t>durch-             schnitt-       licher       Stellen-     anteil VK/Jahr</t>
  </si>
  <si>
    <t>Arbeitnehmer-  bruttopersonalkosten in € je Stellenanteil/ Jahr</t>
  </si>
  <si>
    <t>Entgelt-gruppe</t>
  </si>
  <si>
    <r>
      <t>durchschnitt-liche  Arbeitgeber-bruttopersonalkosten (inkl. SV-AG)  in €</t>
    </r>
    <r>
      <rPr>
        <b/>
        <u/>
        <sz val="10"/>
        <rFont val="Arial"/>
        <family val="2"/>
      </rPr>
      <t xml:space="preserve"> je Stellenanteil</t>
    </r>
  </si>
  <si>
    <r>
      <t>durchschnitt-liche Gesamt-bruttopersonalkosten in €</t>
    </r>
    <r>
      <rPr>
        <b/>
        <u/>
        <sz val="10"/>
        <rFont val="Arial"/>
        <family val="2"/>
      </rPr>
      <t xml:space="preserve"> je VK</t>
    </r>
  </si>
  <si>
    <t>PFK</t>
  </si>
  <si>
    <t xml:space="preserve">Grundlohn/-gehalt </t>
  </si>
  <si>
    <t>Urlaubsgeld</t>
  </si>
  <si>
    <t xml:space="preserve">Jahressonder-
zahlung/ 
Weihnachts-
geld </t>
  </si>
  <si>
    <t>Leiter</t>
  </si>
  <si>
    <t>1.1. Pflegefachkräfte</t>
  </si>
  <si>
    <t>Koch</t>
  </si>
  <si>
    <t>Beikoch</t>
  </si>
  <si>
    <t>Hilfskraft</t>
  </si>
  <si>
    <t xml:space="preserve">sonstige </t>
  </si>
  <si>
    <t>Fachkräfte</t>
  </si>
  <si>
    <t>sonstige</t>
  </si>
  <si>
    <t>Summe Pflegefachkräfte</t>
  </si>
  <si>
    <t>1.2. Pflegehilfskräfte</t>
  </si>
  <si>
    <t>Summe Pflegehilfskräfte</t>
  </si>
  <si>
    <t>Gesamt Pflege</t>
  </si>
  <si>
    <t>Fachkraftquote:</t>
  </si>
  <si>
    <t>2. Betreuung</t>
  </si>
  <si>
    <t>Summe Betreuung</t>
  </si>
  <si>
    <t>3. Zusätzliche Betreuung und Aktivierung nach § 43b SGB XI</t>
  </si>
  <si>
    <t>Summe § 43b SGB XI</t>
  </si>
  <si>
    <t>4. Leitung und Verwaltung</t>
  </si>
  <si>
    <t>Summe Leitung und Verwaltung</t>
  </si>
  <si>
    <t>5. Hauswirtschaft</t>
  </si>
  <si>
    <t>Summe Hauswirtschaft</t>
  </si>
  <si>
    <t>6. Küche</t>
  </si>
  <si>
    <t>Summe Küche</t>
  </si>
  <si>
    <t>7. Haustechnik</t>
  </si>
  <si>
    <t>Summe Haustechnik</t>
  </si>
  <si>
    <t>8. Mitarbeiter Beförderung (teilstationäre Pflege)</t>
  </si>
  <si>
    <t>Summe Beförderung</t>
  </si>
  <si>
    <t>9. sonstige Mitarbeiter</t>
  </si>
  <si>
    <t>Bruttoperso-nalkosten in € je Stelle/ Jahr</t>
  </si>
  <si>
    <t>Gesamt in €/Jahr</t>
  </si>
  <si>
    <t>Ø  in € je Stelle/Jahr</t>
  </si>
  <si>
    <t>Freiwillige Dienste</t>
  </si>
  <si>
    <t>FSJ</t>
  </si>
  <si>
    <t>Summe sonstige Mitarbeiter</t>
  </si>
  <si>
    <t>Unternehmerrisiko</t>
  </si>
  <si>
    <t>b) Erbringung durch einen beauftragten Fahrdienst</t>
  </si>
  <si>
    <t>Gesamtentgelt Beförderung</t>
  </si>
  <si>
    <t>b) Anzahl der beförderten Gäste durch fremden Fahrdienst im Durchschnitt</t>
  </si>
  <si>
    <t>c) Anzahl Gäste, die von Angehörigen gebracht werden oder selbständig kommen</t>
  </si>
  <si>
    <t>Inhalt Zeile 53 - Fahrtkosten teilstationär - Begleitdienst = gelöscht/04.12.2017</t>
  </si>
  <si>
    <t>Fahrkosten teilstationär - Beförderung:</t>
  </si>
  <si>
    <t>D52 - anstelle Fahrtkosten teilstationär- Fahrdienst in Fahrtkosten Teilstationär - Beförderung umbenannt/04.12.2017</t>
  </si>
  <si>
    <t>bedingte Formatierung hat nur bei L37-39 geklappt</t>
  </si>
  <si>
    <t>für die anderen Felder für die angebundene KZP muss ich Astrid fragen</t>
  </si>
  <si>
    <t>Zeitraum der letzten 12 Monate oder abgeschlossenes Kalenderjahr</t>
  </si>
  <si>
    <t xml:space="preserve"> % tuale Änderung</t>
  </si>
  <si>
    <t>Angaben beziehen sich auf den o.g. Zeitraum</t>
  </si>
  <si>
    <t>Ansprechpartner/ Funktion</t>
  </si>
  <si>
    <t>Kosten je Stelle</t>
  </si>
  <si>
    <t xml:space="preserve">durchschnittliche Bruttopersonal-kosten </t>
  </si>
  <si>
    <t>(inkl. Personalneben-kosten, Unternehmer-risiko)</t>
  </si>
  <si>
    <t>(ohne Personalneben-kosten, Unternehmer-risiko)</t>
  </si>
  <si>
    <t>Stand 13.12.17: Zellbezug in Zelle L27 Empfehlung Relation HW im Blatt Forderung geändert: statt H37 auf H39</t>
  </si>
  <si>
    <t>Stand 13.12.17: Bedingte Formatierung in Zeile 40 - EEE nur bei vst, VERKNÜPFUNG AUF N gelöscht</t>
  </si>
  <si>
    <t>SUMME EINRICHTUNG</t>
  </si>
  <si>
    <t>Belegungstage - 6 Kalendermonate rückwirkend ab Stichtag</t>
  </si>
  <si>
    <t xml:space="preserve">Personalkostenaufstellung nach Tätigkeit und Vergütungsgruppe </t>
  </si>
  <si>
    <t>Bereich Vertragsmanagement Pflege/HKP</t>
  </si>
  <si>
    <t>Team Vergütung Pflege/HKP</t>
  </si>
  <si>
    <t>Geschäftsbereich Pflege/Häusliche Krankenpflege</t>
  </si>
  <si>
    <t>Humboldtstraße 18</t>
  </si>
  <si>
    <t>04105 Leipzig</t>
  </si>
  <si>
    <t>vereinbarungen-pflege@ksv-sachsen.de</t>
  </si>
  <si>
    <t>Sozialversicherungsbeitrag "geringfügig" Beschäftigte</t>
  </si>
  <si>
    <t>Grundlohn/-gehalt in € je VK/Monat</t>
  </si>
  <si>
    <t>steuerfreie Sachbezüge im Sinne § 8 Abs. 2 EStG</t>
  </si>
  <si>
    <t>Gesamtsumme:</t>
  </si>
  <si>
    <t>Aufwand des</t>
  </si>
  <si>
    <t>Stellen-anteil in  VK</t>
  </si>
  <si>
    <t>Ort der Einrichtung:</t>
  </si>
  <si>
    <t>Antrag vom:</t>
  </si>
  <si>
    <t xml:space="preserve">Pseudonym Nummer      </t>
  </si>
  <si>
    <t>Beschäftigungsgruppen nach GVWG</t>
  </si>
  <si>
    <t>stellv. PDL</t>
  </si>
  <si>
    <t>PFK/BFK</t>
  </si>
  <si>
    <t>PK/BK</t>
  </si>
  <si>
    <t>PK/BK o.</t>
  </si>
  <si>
    <t>Arbeitgeber-brutto-personalkosten (inkl. SV-AG) in € je Stellenanteil/ Jahr</t>
  </si>
  <si>
    <t>Arbeitgeberbrutto-personalkosten (inkl. SV-AG) in € je VK/ Jahr</t>
  </si>
  <si>
    <t>VWL</t>
  </si>
  <si>
    <t>sv-pflichtig</t>
  </si>
  <si>
    <t>sv-frei</t>
  </si>
  <si>
    <r>
      <rPr>
        <b/>
        <u/>
        <sz val="10"/>
        <color rgb="FFFF0000"/>
        <rFont val="Arial"/>
        <family val="2"/>
      </rPr>
      <t xml:space="preserve">regelmäßige und fixe </t>
    </r>
    <r>
      <rPr>
        <b/>
        <sz val="10"/>
        <rFont val="Arial"/>
        <family val="2"/>
      </rPr>
      <t xml:space="preserve">pflegetypische Zulagen </t>
    </r>
  </si>
  <si>
    <r>
      <rPr>
        <b/>
        <u/>
        <sz val="10"/>
        <color rgb="FF0070C0"/>
        <rFont val="Arial"/>
        <family val="2"/>
      </rPr>
      <t xml:space="preserve">variable pflegetypische </t>
    </r>
    <r>
      <rPr>
        <b/>
        <sz val="10"/>
        <rFont val="Arial"/>
        <family val="2"/>
      </rPr>
      <t>Zuschläge</t>
    </r>
  </si>
  <si>
    <r>
      <rPr>
        <b/>
        <u/>
        <sz val="10"/>
        <rFont val="Arial"/>
        <family val="2"/>
      </rPr>
      <t>jährliche</t>
    </r>
    <r>
      <rPr>
        <b/>
        <sz val="10"/>
        <rFont val="Arial"/>
        <family val="2"/>
      </rPr>
      <t xml:space="preserve"> Einmalzahlungen in € je Stellenanteil</t>
    </r>
  </si>
  <si>
    <r>
      <rPr>
        <b/>
        <u/>
        <sz val="10"/>
        <rFont val="Arial"/>
        <family val="2"/>
      </rPr>
      <t>monatliche</t>
    </r>
    <r>
      <rPr>
        <b/>
        <sz val="10"/>
        <rFont val="Arial"/>
        <family val="2"/>
      </rPr>
      <t xml:space="preserve"> Zahlungen (AN-Brutto) in €</t>
    </r>
    <r>
      <rPr>
        <b/>
        <u/>
        <sz val="10"/>
        <rFont val="Arial"/>
        <family val="2"/>
      </rPr>
      <t xml:space="preserve"> je Stellenanteil </t>
    </r>
  </si>
  <si>
    <t>monatliche Zahlungen (AN-Brutto) in € je Stellenanteil</t>
  </si>
  <si>
    <t>unmittelbare Bindung Tarif/ AVR:</t>
  </si>
  <si>
    <t>Welche/r Tarif/AVR</t>
  </si>
  <si>
    <t>regional übliches Entgelt</t>
  </si>
  <si>
    <t>mtl. VWL</t>
  </si>
  <si>
    <t>VK je Beschäftigungsgruppe</t>
  </si>
  <si>
    <t>durchschnittliche Gesamtbruttopersonalkosten je Stellenumfang</t>
  </si>
  <si>
    <t>Hilfsspalten</t>
  </si>
  <si>
    <t xml:space="preserve">PK/BK  </t>
  </si>
  <si>
    <t xml:space="preserve">PK/BK o. </t>
  </si>
  <si>
    <t xml:space="preserve">Entlohnung der Pflege-/Betreuungsmitarbeiter entsprechend der Vorgaben </t>
  </si>
  <si>
    <t>Summe:</t>
  </si>
  <si>
    <t>mtl. pflege-typische fixe Zulagen</t>
  </si>
  <si>
    <t>mtl. Einmalzah-lungen</t>
  </si>
  <si>
    <t>Beschätigungsgruppe</t>
  </si>
  <si>
    <t xml:space="preserve"> mind. 3 Jahre Berufsausbildung</t>
  </si>
  <si>
    <t>mind. 1 Jahr Berufsausbildung</t>
  </si>
  <si>
    <t>ohne mind. 1 Jahr Berufsausbildung</t>
  </si>
  <si>
    <t>fixe, regelm. Entlohnung je VK</t>
  </si>
  <si>
    <t>mtl. Arbeitszeit (40 h/Woche)</t>
  </si>
  <si>
    <t>VK</t>
  </si>
  <si>
    <t>VK alle Beschäftigungsgruppen</t>
  </si>
  <si>
    <t xml:space="preserve">Anteil je Beschäftigungsgruppe </t>
  </si>
  <si>
    <t>einrichtungsindividuelles Entgeltniveau</t>
  </si>
  <si>
    <t>Gesamtbruttopersonalkosten je Jahr</t>
  </si>
  <si>
    <t xml:space="preserve">Differenzierung nach Beschäftigungsgruppen </t>
  </si>
  <si>
    <t xml:space="preserve">Differenzierung nach Beschäftigungs-gruppen </t>
  </si>
  <si>
    <t>Entlohnung nach:</t>
  </si>
  <si>
    <t xml:space="preserve">arbeitszeitnormierter Stundenlohn </t>
  </si>
  <si>
    <t>mtl. Grundgehalt inkl. Besitzstand</t>
  </si>
  <si>
    <t>Besitzstand</t>
  </si>
  <si>
    <t>Tarif/AVR maßgebend</t>
  </si>
  <si>
    <t xml:space="preserve">Pseudonym Nummer
(bei geringfügig Beschäftigten bitte GfB eingeben)                                         </t>
  </si>
  <si>
    <t>gehe weiter zu Personalkostenaufstellung</t>
  </si>
  <si>
    <t>Stellungnahme der Bewohnervertretung gem. § 85 (3) SGB XI</t>
  </si>
  <si>
    <t>(gilt nur für vollstationäre Pflegeeinrichtungen)</t>
  </si>
  <si>
    <t>Bewohnervertretung</t>
  </si>
  <si>
    <t>Bewohnerfürsprecher *</t>
  </si>
  <si>
    <t>* Im Sinne der besseren Lesbarkeit wurde stellvertretend für beide Geschlechtsformen durchgehend nur die männliche Form verwendet.</t>
  </si>
  <si>
    <t>a)</t>
  </si>
  <si>
    <t xml:space="preserve">Schriftliche Stellungnahme liegt vor </t>
  </si>
  <si>
    <t>Ja</t>
  </si>
  <si>
    <t>weitere Angaben unter c) oder als Anlage erforderlich</t>
  </si>
  <si>
    <t>Nein</t>
  </si>
  <si>
    <t>weitere Angaben unter b) erforderlich</t>
  </si>
  <si>
    <t>b)</t>
  </si>
  <si>
    <t>Begründung für Nichtvorlage der schriftlichen Stellungnahme</t>
  </si>
  <si>
    <t xml:space="preserve">Gelegenheit zur Stellungnahme wurde eingeräumt, </t>
  </si>
  <si>
    <t>Bewohnervertretung oder Bewohnerfürsprecher haben diese nicht wahrgenommen</t>
  </si>
  <si>
    <t>Bewohnervertretung oder Bewohnerfürsprecher nicht vorhanden,</t>
  </si>
  <si>
    <t>(schriftliche Mitteilung des Trägers der Einrichtung an die zuständige Behörde beifügen)</t>
  </si>
  <si>
    <t>c)</t>
  </si>
  <si>
    <t>Einbeziehung der Bewohnervertretung / des Bewohnerfürsprechers:</t>
  </si>
  <si>
    <t>Der vorliegende Antrag auf Abschluss einer neuen Pflegesatzvereinbarung, die zu einer Erhöhung der</t>
  </si>
  <si>
    <t>Entgelte für Pflege, Unterkunft, Verpflegung und des einrichtungseinheitlichen Eigenanteils in vollstationären</t>
  </si>
  <si>
    <t xml:space="preserve">Einrichtungen nach § 43 führen kann, wurde uns vom Einrichtungsträger vorgelegt und erläutert. Die dem   </t>
  </si>
  <si>
    <t xml:space="preserve">Antrag zugrunde liegenden Einzelpositionen, der Umlagemaßstab sowie die Antragsbegründung wurden </t>
  </si>
  <si>
    <t>ausführlich dargestellt und auf die Möglichkeit an der Pflegesatzverhandlung teilzunehmen hingewiesen.</t>
  </si>
  <si>
    <t>Stellungnahme der Bewohnervertretung / des Bewohnerfürsprechers:</t>
  </si>
  <si>
    <t>Ort, Datum</t>
  </si>
  <si>
    <t>Unterschrift des Vorsitzenden der Bewohnervertretung</t>
  </si>
  <si>
    <t>oder des Bewohnerfürsprechers</t>
  </si>
  <si>
    <t>gehe weiter zu Bewohnervertretung</t>
  </si>
  <si>
    <t>weitere zusätzliche Zulagen/ Zuschläge / betriebliche Altersversorgung</t>
  </si>
  <si>
    <t>Nachrichtliche Angaben zum Zeitpunkt der Antragstellung und nicht Gegenstand dieses Antrages</t>
  </si>
  <si>
    <t>Ausbildungsbetrieb und/oder Praktikumsbetrieb nach dem Pflegeberufegesetz</t>
  </si>
  <si>
    <t>Angebot gesundheitliche Versorgungsplanung in der letzten Lebensphase (§132g SGB V)</t>
  </si>
  <si>
    <t>pflegesatzverhandlungen_sachsen@plus.aok.de</t>
  </si>
  <si>
    <t>Öffnungszeit bei teilstationären Einrichtungen tägl. ab:</t>
  </si>
  <si>
    <t>Datum der 
Änderung</t>
  </si>
  <si>
    <t>Tabellenblatt</t>
  </si>
  <si>
    <t>Zeile/Spalte</t>
  </si>
  <si>
    <t>Erläuterung der Änderung</t>
  </si>
  <si>
    <t>Hinweise für die Anwender</t>
  </si>
  <si>
    <t>alte Formel:  =Personalaufwendungen!I17*Personalaufwendungen!H17*(1+pnk)*(1+risiko) durch neue Formel   =Personalaufwendungen!I17*Personalaufwendungen!H17*(1+pnk+Personalaufwendungen!I57)*(1+risiko) ersetzt</t>
  </si>
  <si>
    <t>Hinweis von Frau Dr. Morgenstern: anders als im Antrag für vollstationäre Einrichtungen werden die steuerfreien Sachbezüge aus der Mappe Personalaufwendungen in Zeile 57, Zelle J57 nicht in der Gesamtkalkulation berücksichtigt. Dies wurde hiermit behoben.</t>
  </si>
  <si>
    <t>D17 bis D23</t>
  </si>
  <si>
    <t>Erläuterung der Änderungen gegenüber der Vorversion (Änderungshistorie) nach 19.5.2022</t>
  </si>
  <si>
    <t>Blattschutz aktiviert</t>
  </si>
  <si>
    <t xml:space="preserve">Hinweis vom DRK: uns ist bei den Antragsunterlagen ein nicht aktivierter Blattschutz aufgefallen.
Konkret betrifft dies die Antragsunterlagen für die Vollverhandlung von teilstationären Pflegeeinrichtungen und Kurzzeitpflegeeinrichtungen vom 28.06.2022 (aktuelle Variante zum Download) und in diesen das Blatt „Gesamtkalkulation“. 
</t>
  </si>
  <si>
    <t>Heidestraße 40</t>
  </si>
  <si>
    <t>10557 Berlin</t>
  </si>
  <si>
    <t>Adressverzeichnis</t>
  </si>
  <si>
    <t>Zeile 44/45</t>
  </si>
  <si>
    <t>Aufnahme bpa Hinweis vom September 2022</t>
  </si>
  <si>
    <t>Anpassung der Anschrift der PKV - aktuell auf: Heidestraße 40, 10557 Berlin</t>
  </si>
  <si>
    <t>€/Tag</t>
  </si>
  <si>
    <t>Zelle H15;J15;L15;N15;P15;R15;T15;V15</t>
  </si>
  <si>
    <t>bisher Tag/€ - korrigiert in €/Tag</t>
  </si>
  <si>
    <t>Korrktur der Überschrift</t>
  </si>
  <si>
    <t>Personalaufwendungen</t>
  </si>
  <si>
    <t>Bezug in Zelle I62; I64 korrigiert</t>
  </si>
  <si>
    <t>bisher unkorrekte Berechnung der Personalaufwendungen für sonstige Mitarbeiter</t>
  </si>
  <si>
    <r>
      <rPr>
        <u/>
        <sz val="10"/>
        <color theme="1"/>
        <rFont val="Arial"/>
        <family val="2"/>
      </rPr>
      <t>alter Bezug in:</t>
    </r>
    <r>
      <rPr>
        <sz val="10"/>
        <color theme="1"/>
        <rFont val="Arial"/>
        <family val="2"/>
      </rPr>
      <t xml:space="preserve"> Zelle I62 zu TAB Personalkostenaufstellung Zelle X157, Zelle I64 zu TAB Personalkostenaufstellung Zelle X158,          </t>
    </r>
    <r>
      <rPr>
        <u/>
        <sz val="10"/>
        <color theme="1"/>
        <rFont val="Arial"/>
        <family val="2"/>
      </rPr>
      <t>neuer Bezug in</t>
    </r>
    <r>
      <rPr>
        <sz val="10"/>
        <color theme="1"/>
        <rFont val="Arial"/>
        <family val="2"/>
      </rPr>
      <t>: Zelle I62 zu TAB Personalkostenaufstellung Zelle W157; Zelle I64 zu TAB Personalkostenaufstellung Zelle W158</t>
    </r>
  </si>
  <si>
    <t>Allgemeine Hinweise</t>
  </si>
  <si>
    <t>Personalkostenaufstellung</t>
  </si>
  <si>
    <t>Zellen gesperrt aber nicht mehr ausgeblendet</t>
  </si>
  <si>
    <t>neue Hinweise Stand 8.12.22 und Anpassung Fußzeilen</t>
  </si>
  <si>
    <t>Bereich A166:F176</t>
  </si>
  <si>
    <t>Gründungsdatum der Pflegeeinrichtung:</t>
  </si>
  <si>
    <t>2 neue Zeilen nach Zeile 42 eingefügt</t>
  </si>
  <si>
    <t xml:space="preserve">für Erfassung des Gründungsdatum der Pflegeeinrichtung </t>
  </si>
  <si>
    <t>B44</t>
  </si>
  <si>
    <t>H44</t>
  </si>
  <si>
    <t>Erfassungsfeld für Datum, formatiert Datum</t>
  </si>
  <si>
    <t>Belegung</t>
  </si>
  <si>
    <t>B18</t>
  </si>
  <si>
    <t>C18</t>
  </si>
  <si>
    <t xml:space="preserve"> Formel: =WENN('Allgemeine Angaben'!D7="kzp";"Anzahl Monate:";"")</t>
  </si>
  <si>
    <t xml:space="preserve">graues Feld aber sofern keine KZP dann weiß =&gt; bedingt formatieren =&gt; wennAllgemeine Angaben D7="tst", dann Feld C18 weiße Farbe, weiße Schrift und kein Rahmen </t>
  </si>
  <si>
    <t>C15</t>
  </si>
  <si>
    <t>G6</t>
  </si>
  <si>
    <t>Datenüberprüfung: Werte zw. 70% - 100%</t>
  </si>
  <si>
    <t>Datenüberprüfung - Erklärtext angepasst =&gt;</t>
  </si>
  <si>
    <t>H48</t>
  </si>
  <si>
    <t>dicker Rahmen</t>
  </si>
  <si>
    <t xml:space="preserve"> Formel: =WENN('Allgemeine Angaben'!D7="tst";"letzten 12 Monate";"letzten 24 Monate")</t>
  </si>
  <si>
    <t>G7</t>
  </si>
  <si>
    <t>K44</t>
  </si>
  <si>
    <t xml:space="preserve">Ermittlung Zeitr. ab Gründung (für Auslastungsplausi) : Anzahl Monate zw. Gründungsdatum und  Datum im Tab Belegung Zelle C17 </t>
  </si>
  <si>
    <t>G8</t>
  </si>
  <si>
    <t>H8</t>
  </si>
  <si>
    <t>H9</t>
  </si>
  <si>
    <t>69,9% - benutzerdefiniert formatiert</t>
  </si>
  <si>
    <t xml:space="preserve">Zelle G6 ist benutzerdefiniert formatiert, ein Vgl. der Werte geford. Auslastung mit der mögl. Auslastung lt. Rahmenempfehlung ist nur bei einem gleichen Format möglich, deshalb zusätzl. Plausi-Felder H8:H9 notw. </t>
  </si>
  <si>
    <t xml:space="preserve"> PlausiFeld: =WENN('Allgemeine Angaben'!K44&gt;24;H8;WENN('Allgemeine Angaben'!K44&gt;12;H8;H9))</t>
  </si>
  <si>
    <t>(77,9-5%)=72,9% - benutzerdefiniert formatiert (siehe Rahmenempfehlung bei KZP ab dem 3. Jahr mind. 78% aber Toleranz von 5% möglich)</t>
  </si>
  <si>
    <t xml:space="preserve"> =WENN('Allgemeine Angaben'!D7="kzp";WENN(C17&gt;0;DATEDIF(C16;C17;"m")+1;""))</t>
  </si>
  <si>
    <t xml:space="preserve"> =WENN(G6=0;"";WENN(G6&gt;0;WENN(UND('Allgemeine Angaben'!D7="vst";G6&gt;95,9)=WAHR;"";WENN(UND('Allgemeine Angaben'!D7="kzp";G6&gt;G8)=WAHR;"";WENN(UND('Allgemeine Angaben'!D7="tst";G6&gt;84,9)=WAHR;"";"Auslastung nicht plausibel bzw. bei KZP Belegungsdaten erfassen")))))</t>
  </si>
  <si>
    <t xml:space="preserve"> =DATEDIF(H44;H50;"m")</t>
  </si>
  <si>
    <t>K45</t>
  </si>
  <si>
    <t>Plausi-Feld eingefügt, da ohne Ergebnis K44 (Diff. zw. Gründungsdatum und LZ-Beginn) - die Ableitung der Auslastung im TAB Belegung nicht funktioniert</t>
  </si>
  <si>
    <t xml:space="preserve"> =WENN(UND(H44="";H50&lt;&gt;"");"Bitte Erfassung des Gründungsdatums";"")</t>
  </si>
  <si>
    <t>H7</t>
  </si>
  <si>
    <t>77,9   (bedingt formatiert: 77,9 "%")</t>
  </si>
  <si>
    <t>Auslastungsgrad für KZP ab dem 3. Gründungsjahr</t>
  </si>
  <si>
    <t>alte Formel gelöscht:  =WENN('Allgemeine Angaben'!K44&gt;24;H8;WENN('Allgemeine Angaben'!K44&gt;12;H8;H9))</t>
  </si>
  <si>
    <t>bisherige Formellogik =&gt;Diff. zw. LZ Beginn und Belegungsdatumende - berücksichtigt aber nicht Neueinrichtungen, die keine Istbelegungszahlen haben, die Erweiterung der Formel mit Wennfehler(....;0) würde wiederum ein Nichtausfüllen der Belegung bei bestehenden Einrichtungen zulassen! =&gt; desh. neue Formellogik: Differenz zw. LZ-Beginn und Gründungsbeginn: &lt; 11,9 M =&gt; 70% Auslastung/ &lt; 23,9 M =&gt; 73% Auslastung/ &gt; 23,9 M =&gt; 78% Auslastung</t>
  </si>
  <si>
    <t>C19</t>
  </si>
  <si>
    <t>Plausi: =WENN(UND('Allgemeine Angaben'!K44&gt;11,9;C17="");"Bitte Belegungszeitraum vollständig angeben";"")</t>
  </si>
  <si>
    <t>für die korrekte Bewertung der Belegungstage und damit der Auslastung ist die Angabe des Belegungszeitraums notw.</t>
  </si>
  <si>
    <t>C23</t>
  </si>
  <si>
    <t>da Bezug zu Zelle C23 Formulierung anstelle Monate jetzt Kalendermonate</t>
  </si>
  <si>
    <r>
      <t>Formel im Text angepasst:  =WENN(G6=0;"";WENN(G6&gt;0;WENN(UND('Allgemeine Angaben'!D7="vst";G6&gt;95,9)=WAHR;"";WENN(UND('Allgemeine Angaben'!D7="kzp";G6&gt;G8)=WAHR;"";WENN(UND('Allgemeine Angaben'!D7="tst";G6&gt;84,9)=WAHR;"";"</t>
    </r>
    <r>
      <rPr>
        <sz val="11"/>
        <color rgb="FFFF0000"/>
        <rFont val="Arial"/>
        <family val="2"/>
      </rPr>
      <t>Auslastung nicht plausibel</t>
    </r>
    <r>
      <rPr>
        <sz val="11"/>
        <color theme="1"/>
        <rFont val="Arial"/>
        <family val="2"/>
      </rPr>
      <t>")))))</t>
    </r>
  </si>
  <si>
    <r>
      <t xml:space="preserve"> Formel alt im Text: =WENN(G6=0;"";WENN(G6&gt;0;WENN(UND('Allgemeine Angaben'!D7="vst";G6&gt;95,9)=WAHR;"";WENN(UND('Allgemeine Angaben'!D7="kzp";G6&gt;G8)=WAHR;"";WENN(UND('Allgemeine Angaben'!D7="tst";G6&gt;84,9)=WAHR;"";</t>
    </r>
    <r>
      <rPr>
        <sz val="11"/>
        <color rgb="FFFF0000"/>
        <rFont val="Arial"/>
        <family val="2"/>
      </rPr>
      <t xml:space="preserve">"Auslastung nicht plausibel bzw. bei KZP Belegungsdaten </t>
    </r>
    <r>
      <rPr>
        <sz val="11"/>
        <color theme="1"/>
        <rFont val="Arial"/>
        <family val="2"/>
      </rPr>
      <t>erfassen")))))</t>
    </r>
  </si>
  <si>
    <t xml:space="preserve">Belegungstage </t>
  </si>
  <si>
    <t xml:space="preserve"> =WENN('Allgemeine Angaben'!D7="tst";"in den letzten 12 Kalendermonaten";"in den letzten "&amp;WENN(ISTZAHL(C18);TEXT(C18;"## ");"24 ")&amp; "Kalendermonaten")</t>
  </si>
  <si>
    <t xml:space="preserve">Vorschlag Hr. Lietz </t>
  </si>
  <si>
    <t xml:space="preserve"> =WENN('Allgemeine Angaben'!D7="tst";"letzten 12 Kalendermonate";"letzten 24 Kalendermonate"))</t>
  </si>
  <si>
    <t>NEU: =WENN('Allgemeine Angaben'!K44&lt;12;H9;WENN('Allgemeine Angaben'!K44&lt;24;H8;H7))</t>
  </si>
  <si>
    <t>Zulassungsdatum der Pflegeeinrichtung:</t>
  </si>
  <si>
    <t>B70</t>
  </si>
  <si>
    <t>B72 =&gt; Inhalt wird in Zelle B70 verschoben</t>
  </si>
  <si>
    <t>B72 + L72</t>
  </si>
  <si>
    <t>Inhalte werden dr. Verschieben gelöscht</t>
  </si>
  <si>
    <t>Eingabe Text NEU: teilstationär: 85% bis 100%         KZP: siehe "Allgemeine Hinweise"                                      70% - für das 1. Jahr der Zulassung                                    73% - für das 2. Jahr der Zulassung                                 mind. 78% bis 100% - nach Ablauf des 2. Jahres der Zulassung</t>
  </si>
  <si>
    <t>anstelle "Gründungsdatum der Pflegeeinrichtung" NEU: Zuassungsdatum der Pflegeeinrichtung</t>
  </si>
  <si>
    <t>gleicher Wortlaut analog Rahmenempfehlung § 88a SGB XI</t>
  </si>
  <si>
    <t>bisherigen Text entfernen: zusätzliches Personal nach § 8 Abs. 6 SGB XI</t>
  </si>
  <si>
    <t>Kreuzelmöglichkeit mit § 113 c SGB XI hinfällig</t>
  </si>
  <si>
    <t>Wortwechsel in Formel statt Gründungsdatum jetzt Zulassungsdatum</t>
  </si>
  <si>
    <t>Hilfsfeld für Plausi in Zelle G7 zur Prüfung der mögl. Auslastung in Bezug zum jew. Gründungs/Zulassungsjahr der KZP</t>
  </si>
  <si>
    <t xml:space="preserve"> =WENN('Allgemeine Angaben'!K44&lt;12;H9;WENN('Allgemeine Angaben'!K44&lt;24;H8;H7))</t>
  </si>
  <si>
    <t>NEU Text in Formel: =WENN(UND(H44="";H50&lt;&gt;"");"Bitte Erfassung des Zulassungsdatums!";"")</t>
  </si>
  <si>
    <t>Hinweis ergänzt - vor 70% = solitäre KZP</t>
  </si>
  <si>
    <t>Klarstellung, dass gestffelte Auslastung, 70%/73% in den ersten 2 Zula-Jahren nur für solitäre KZP gilt</t>
  </si>
  <si>
    <t>letzter Vereinbarungszeitraum</t>
  </si>
  <si>
    <t xml:space="preserve"> von</t>
  </si>
  <si>
    <t>Angabe " Angabe letzter Vereinbarungszeitraum"</t>
  </si>
  <si>
    <t>Zeile 53 eingefügt</t>
  </si>
  <si>
    <t>Zeile 8 eingefügt</t>
  </si>
  <si>
    <t xml:space="preserve"> für Differenzierungsmöglichkeit der KZP-Formen</t>
  </si>
  <si>
    <t>Form der Kurzzeitpflege:</t>
  </si>
  <si>
    <t>solitär</t>
  </si>
  <si>
    <t>angebunden</t>
  </si>
  <si>
    <t>D8</t>
  </si>
  <si>
    <t>H8:K8</t>
  </si>
  <si>
    <t>integrierten KZP können nicht selbst verhandeln</t>
  </si>
  <si>
    <t>J9</t>
  </si>
  <si>
    <t>Damit der Auslastungsgrad entspr. der RV bewertet werden kann, ist das Feld KZP Form zwingend zu erfassen!</t>
  </si>
  <si>
    <t>Plausi: =WENN(UND(D7="kzp";H8="");"Bitte Form der Kurzeitpflege angeben.";"")</t>
  </si>
  <si>
    <t>KAT</t>
  </si>
  <si>
    <t>A10 + A11</t>
  </si>
  <si>
    <t>solitär + angebunden</t>
  </si>
  <si>
    <t>DropDown-Feld = Auswahl: solitär, angebunden - Bezug zu KAT Liste (A10:A11)</t>
  </si>
  <si>
    <t>Form der Kurzzeitpflege:     + bedingt formatiert (Anzeige nur bei Einrichtungsart: KZP)</t>
  </si>
  <si>
    <t>Prüfungfeld eingefügt:  =WENN(H8="solitär";1;2)</t>
  </si>
  <si>
    <t>Formel angepasst - NEU: =WENN(UND('Allgemeine Angaben'!K45&lt;12;'Allgemeine Angaben'!H9=1);H9;WENN(UND('Allgemeine Angaben'!K45&lt;24;'Allgemeine Angaben'!H9=1);H8;H7))</t>
  </si>
  <si>
    <t>sofern LE solitäre KZP und Zeitr. zw. VV- und LZ-Beginn kleiner 12M = Auslastung 70%, sofern LE solitäre KZP und Zeitr. zw. VV-+LZ-Beginn kleiner 12 M = Auslastung 73%, ansonsten gilt für solitäre KZP mit Zeitr. zw. VV-+LZ-Beginn ab 24 M sowie für angebundene KZP egal wie die Spanne zw. VV- und LZ-Beginn ist = mind. 78%// 78%</t>
  </si>
  <si>
    <t>Hinweisfeld</t>
  </si>
  <si>
    <t>Felder mit Hinweisen und Fehlermeldungen werden blau (="ja") bzw. weiß (="nein") hinterlegt</t>
  </si>
  <si>
    <t>STD_VG_PFK</t>
  </si>
  <si>
    <t>STD_VG_PHK_mit Ausbildung</t>
  </si>
  <si>
    <t>STD_VG_PHK_ohne Ausbildung</t>
  </si>
  <si>
    <t>STD_VG_einr. ind. Egniveau</t>
  </si>
  <si>
    <t>VK_PFK</t>
  </si>
  <si>
    <t>VK_PHK_mit Ausbildung</t>
  </si>
  <si>
    <t>VK_PHK_ohne Ausbildung</t>
  </si>
  <si>
    <t>GES_VG_PFK</t>
  </si>
  <si>
    <t>GES_VG_PHK_mit Ausbildung</t>
  </si>
  <si>
    <t>GES_VG_PHK_ohne Ausbildung</t>
  </si>
  <si>
    <t>verguetung-pflege.sac@vdek.com</t>
  </si>
  <si>
    <t>BARMER</t>
  </si>
  <si>
    <t>Landesvertretung Sachsen</t>
  </si>
  <si>
    <t>Postfach 12 03 65</t>
  </si>
  <si>
    <t>peter.hoeher@barmer.de</t>
  </si>
  <si>
    <t>andre.kaden@barmer.de</t>
  </si>
  <si>
    <t>alexander.bretschneider@barmer.de</t>
  </si>
  <si>
    <t>angepasst, e-Mail, Anschrift, Namen -  vdek und BARMER</t>
  </si>
  <si>
    <t>A33:B34</t>
  </si>
  <si>
    <t>Ja/ nein Feld für bedingte Formatierungen</t>
  </si>
  <si>
    <t>AA167:AJ168</t>
  </si>
  <si>
    <t>Erfassungsfeld für Betriebsvergleich hinterlegt</t>
  </si>
  <si>
    <t>alle TABS</t>
  </si>
  <si>
    <t>blaue Hinweis/Fehlerfelder</t>
  </si>
  <si>
    <r>
      <t xml:space="preserve">bedingt formatiert in Bezug zu KAT A33:B34, </t>
    </r>
    <r>
      <rPr>
        <sz val="10"/>
        <color rgb="FFFF0000"/>
        <rFont val="Arial"/>
        <family val="2"/>
      </rPr>
      <t>AUSNAHME TAB Ford. Zelle  K9:L17 keine bedingte Formatierung</t>
    </r>
  </si>
  <si>
    <t>Leistungsbeträge 2025 informativ erfasst</t>
  </si>
  <si>
    <t>Fußzeile angepasst</t>
  </si>
  <si>
    <t>Allgeine Hinweise</t>
  </si>
  <si>
    <t>eingefügt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</si>
</sst>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7" formatCode="#,##0.00\ &quot;€&quot;;\-#,##0.00\ &quot;€&quot;"/>
    <numFmt numFmtId="44" formatCode="_-* #,##0.00\ &quot;€&quot;_-;\-* #,##0.00\ &quot;€&quot;_-;_-* &quot;-&quot;??\ &quot;€&quot;_-;_-@_-"/>
    <numFmt numFmtId="164" formatCode="_-* #,##0.00\ _€_-;\-* #,##0.00\ _€_-;_-* &quot;-&quot;??\ _€_-;_-@_-"/>
    <numFmt numFmtId="165" formatCode="#,##0.00\ &quot;€&quot;"/>
    <numFmt numFmtId="166" formatCode="h:mm;@"/>
    <numFmt numFmtId="167" formatCode="d/m/yy"/>
    <numFmt numFmtId="168" formatCode="#,##0\ &quot;€&quot;"/>
    <numFmt numFmtId="169" formatCode="0.000"/>
    <numFmt numFmtId="170" formatCode="#,##0.000_ ;[Red]\-#,##0.000\ "/>
    <numFmt numFmtId="171" formatCode="0.000\ &quot;VK&quot;"/>
    <numFmt numFmtId="172" formatCode="#,##0.00\ _€"/>
    <numFmt numFmtId="173" formatCode="0\ &quot;%&quot;"/>
    <numFmt numFmtId="174" formatCode="#,##0.000\ &quot;€&quot;"/>
    <numFmt numFmtId="175" formatCode="0.000%"/>
    <numFmt numFmtId="176" formatCode="0.0000"/>
    <numFmt numFmtId="177" formatCode="#,##0.0000"/>
    <numFmt numFmtId="178" formatCode="_-* #,##0\ [$€-407]_-;\-* #,##0\ [$€-407]_-;_-* &quot;-&quot;??\ [$€-407]_-;_-@_-"/>
    <numFmt numFmtId="179" formatCode="0.0\ %"/>
    <numFmt numFmtId="180" formatCode="#,##0.000"/>
    <numFmt numFmtId="181" formatCode="#,##0.00\ &quot;€/VK&quot;"/>
    <numFmt numFmtId="182" formatCode="0.00_ &quot;€&quot;"/>
    <numFmt numFmtId="183" formatCode="#,##0.00\ &quot;€&quot;\ ;\-#,##0.00\ &quot;€&quot;"/>
    <numFmt numFmtId="184" formatCode="_-\ #,##0.00\ &quot;€/VK&quot;"/>
    <numFmt numFmtId="185" formatCode="0.00\ &quot;%&quot;"/>
    <numFmt numFmtId="186" formatCode="&quot;letzten&quot;\ 0\ &quot;Kalendermonate&quot;"/>
    <numFmt numFmtId="187" formatCode="&quot;in den&quot;\ 0"/>
  </numFmts>
  <fonts count="137">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1"/>
      <color rgb="FFFF0000"/>
      <name val="Arial"/>
      <family val="2"/>
    </font>
    <font>
      <b/>
      <sz val="11"/>
      <color theme="1"/>
      <name val="Arial"/>
      <family val="2"/>
    </font>
    <font>
      <b/>
      <sz val="11"/>
      <name val="Arial"/>
      <family val="2"/>
    </font>
    <font>
      <sz val="11"/>
      <name val="Arial"/>
      <family val="2"/>
    </font>
    <font>
      <b/>
      <sz val="10"/>
      <color theme="1"/>
      <name val="Arial"/>
      <family val="2"/>
    </font>
    <font>
      <b/>
      <sz val="10"/>
      <name val="Arial"/>
      <family val="2"/>
    </font>
    <font>
      <sz val="8"/>
      <color rgb="FFFF0000"/>
      <name val="Arial"/>
      <family val="2"/>
    </font>
    <font>
      <sz val="8"/>
      <color theme="0"/>
      <name val="Arial"/>
      <family val="2"/>
    </font>
    <font>
      <sz val="11"/>
      <color theme="3" tint="-0.249977111117893"/>
      <name val="Arial"/>
      <family val="2"/>
    </font>
    <font>
      <sz val="10"/>
      <color rgb="FFFF0000"/>
      <name val="Arial"/>
      <family val="2"/>
    </font>
    <font>
      <sz val="10"/>
      <name val="Arial"/>
      <family val="2"/>
    </font>
    <font>
      <sz val="8"/>
      <name val="Arial"/>
      <family val="2"/>
    </font>
    <font>
      <u/>
      <sz val="10"/>
      <color indexed="12"/>
      <name val="Arial"/>
      <family val="2"/>
    </font>
    <font>
      <sz val="11"/>
      <color theme="8" tint="-0.249977111117893"/>
      <name val="Arial"/>
      <family val="2"/>
    </font>
    <font>
      <sz val="11"/>
      <color theme="5" tint="-0.499984740745262"/>
      <name val="Arial"/>
      <family val="2"/>
    </font>
    <font>
      <sz val="10"/>
      <color rgb="FF0070C0"/>
      <name val="Arial"/>
      <family val="2"/>
    </font>
    <font>
      <u/>
      <sz val="10"/>
      <color theme="1"/>
      <name val="Arial"/>
      <family val="2"/>
    </font>
    <font>
      <b/>
      <sz val="10"/>
      <color rgb="FFFF0000"/>
      <name val="Arial"/>
      <family val="2"/>
    </font>
    <font>
      <i/>
      <sz val="10"/>
      <color theme="1"/>
      <name val="Arial"/>
      <family val="2"/>
    </font>
    <font>
      <sz val="11"/>
      <color rgb="FF00B050"/>
      <name val="Arial"/>
      <family val="2"/>
    </font>
    <font>
      <sz val="11"/>
      <color rgb="FF7030A0"/>
      <name val="Arial"/>
      <family val="2"/>
    </font>
    <font>
      <sz val="11"/>
      <color theme="9" tint="-0.499984740745262"/>
      <name val="Arial"/>
      <family val="2"/>
    </font>
    <font>
      <sz val="10"/>
      <color rgb="FF00B050"/>
      <name val="Arial"/>
      <family val="2"/>
    </font>
    <font>
      <sz val="10"/>
      <color rgb="FF7030A0"/>
      <name val="Arial"/>
      <family val="2"/>
    </font>
    <font>
      <sz val="10"/>
      <color theme="3" tint="-0.249977111117893"/>
      <name val="Arial"/>
      <family val="2"/>
    </font>
    <font>
      <sz val="11"/>
      <color rgb="FF0070C0"/>
      <name val="Arial"/>
      <family val="2"/>
    </font>
    <font>
      <sz val="8"/>
      <color theme="1"/>
      <name val="Arial"/>
      <family val="2"/>
    </font>
    <font>
      <sz val="8"/>
      <color rgb="FF0070C0"/>
      <name val="Arial"/>
      <family val="2"/>
    </font>
    <font>
      <sz val="11"/>
      <color rgb="FFC00000"/>
      <name val="Arial"/>
      <family val="2"/>
    </font>
    <font>
      <i/>
      <sz val="10"/>
      <name val="Arial"/>
      <family val="2"/>
    </font>
    <font>
      <i/>
      <sz val="10"/>
      <name val="Aial"/>
    </font>
    <font>
      <i/>
      <sz val="10"/>
      <name val="Wingdings"/>
      <charset val="2"/>
    </font>
    <font>
      <b/>
      <sz val="12"/>
      <name val="Arial"/>
      <family val="2"/>
    </font>
    <font>
      <sz val="9"/>
      <name val="Arial"/>
      <family val="2"/>
    </font>
    <font>
      <sz val="7"/>
      <name val="Arial"/>
      <family val="2"/>
    </font>
    <font>
      <b/>
      <sz val="10"/>
      <color indexed="10"/>
      <name val="Arial"/>
      <family val="2"/>
    </font>
    <font>
      <sz val="11"/>
      <color theme="5" tint="-0.249977111117893"/>
      <name val="Arial"/>
      <family val="2"/>
    </font>
    <font>
      <b/>
      <sz val="10"/>
      <color rgb="FF0070C0"/>
      <name val="Arial"/>
      <family val="2"/>
    </font>
    <font>
      <b/>
      <sz val="10"/>
      <color theme="3" tint="-0.249977111117893"/>
      <name val="Arial"/>
      <family val="2"/>
    </font>
    <font>
      <sz val="11"/>
      <color rgb="FF92D050"/>
      <name val="Arial"/>
      <family val="2"/>
    </font>
    <font>
      <sz val="9"/>
      <color theme="1"/>
      <name val="Arial"/>
      <family val="2"/>
    </font>
    <font>
      <sz val="8"/>
      <color indexed="81"/>
      <name val="Tahoma"/>
      <family val="2"/>
    </font>
    <font>
      <b/>
      <sz val="11"/>
      <color rgb="FF7030A0"/>
      <name val="Arial"/>
      <family val="2"/>
    </font>
    <font>
      <b/>
      <u/>
      <sz val="10"/>
      <color theme="1"/>
      <name val="Arial"/>
      <family val="2"/>
    </font>
    <font>
      <sz val="10"/>
      <color theme="0"/>
      <name val="Arial"/>
      <family val="2"/>
    </font>
    <font>
      <u/>
      <sz val="10"/>
      <color rgb="FF0070C0"/>
      <name val="Arial"/>
      <family val="2"/>
    </font>
    <font>
      <b/>
      <sz val="12"/>
      <color theme="1"/>
      <name val="Arial"/>
      <family val="2"/>
    </font>
    <font>
      <sz val="12"/>
      <name val="Arial"/>
      <family val="2"/>
    </font>
    <font>
      <sz val="10"/>
      <color theme="1"/>
      <name val="Palatino Linotype"/>
      <family val="2"/>
      <scheme val="minor"/>
    </font>
    <font>
      <b/>
      <u/>
      <sz val="10"/>
      <name val="Arial"/>
      <family val="2"/>
    </font>
    <font>
      <sz val="14"/>
      <name val="Arial"/>
      <family val="2"/>
    </font>
    <font>
      <sz val="48"/>
      <name val="Arial"/>
      <family val="2"/>
    </font>
    <font>
      <b/>
      <i/>
      <sz val="9"/>
      <color rgb="FF0070C0"/>
      <name val="Arial"/>
      <family val="2"/>
    </font>
    <font>
      <b/>
      <i/>
      <sz val="9"/>
      <color theme="3" tint="-0.249977111117893"/>
      <name val="Arial"/>
      <family val="2"/>
    </font>
    <font>
      <b/>
      <i/>
      <sz val="9"/>
      <color theme="1"/>
      <name val="Arial"/>
      <family val="2"/>
    </font>
    <font>
      <b/>
      <sz val="16"/>
      <color rgb="FFFF0000"/>
      <name val="Arial"/>
      <family val="2"/>
    </font>
    <font>
      <sz val="10"/>
      <color theme="0" tint="-0.249977111117893"/>
      <name val="Arial"/>
      <family val="2"/>
    </font>
    <font>
      <b/>
      <sz val="11"/>
      <color rgb="FFC00000"/>
      <name val="Arial"/>
      <family val="2"/>
    </font>
    <font>
      <b/>
      <sz val="8"/>
      <name val="Arial"/>
      <family val="2"/>
    </font>
    <font>
      <vertAlign val="superscript"/>
      <sz val="8"/>
      <color rgb="FF0070C0"/>
      <name val="Arial"/>
      <family val="2"/>
    </font>
    <font>
      <u/>
      <sz val="11"/>
      <color theme="1"/>
      <name val="Arial"/>
      <family val="2"/>
    </font>
    <font>
      <sz val="11"/>
      <color rgb="FF00B0F0"/>
      <name val="Arial"/>
      <family val="2"/>
    </font>
    <font>
      <sz val="10"/>
      <color rgb="FF00B0F0"/>
      <name val="Arial"/>
      <family val="2"/>
    </font>
    <font>
      <sz val="9"/>
      <color rgb="FFFF0000"/>
      <name val="Arial"/>
      <family val="2"/>
    </font>
    <font>
      <sz val="10"/>
      <color theme="3"/>
      <name val="Arial"/>
      <family val="2"/>
    </font>
    <font>
      <b/>
      <sz val="10"/>
      <color theme="3"/>
      <name val="Arial"/>
      <family val="2"/>
    </font>
    <font>
      <sz val="11"/>
      <color theme="3"/>
      <name val="Arial"/>
      <family val="2"/>
    </font>
    <font>
      <sz val="9"/>
      <color theme="3"/>
      <name val="Arial"/>
      <family val="2"/>
    </font>
    <font>
      <sz val="10"/>
      <color theme="7"/>
      <name val="Arial"/>
      <family val="2"/>
    </font>
    <font>
      <b/>
      <sz val="10"/>
      <color theme="7"/>
      <name val="Arial"/>
      <family val="2"/>
    </font>
    <font>
      <b/>
      <sz val="9"/>
      <color theme="1"/>
      <name val="Arial"/>
      <family val="2"/>
    </font>
    <font>
      <u val="double"/>
      <sz val="10"/>
      <color theme="3"/>
      <name val="Arial"/>
      <family val="2"/>
    </font>
    <font>
      <u/>
      <sz val="10"/>
      <color theme="3"/>
      <name val="Arial"/>
      <family val="2"/>
    </font>
    <font>
      <b/>
      <sz val="9"/>
      <name val="Arial"/>
      <family val="2"/>
    </font>
    <font>
      <b/>
      <sz val="10"/>
      <name val="Wingdings"/>
      <charset val="2"/>
    </font>
    <font>
      <b/>
      <i/>
      <sz val="10"/>
      <color theme="1"/>
      <name val="Arial"/>
      <family val="2"/>
    </font>
    <font>
      <b/>
      <sz val="10"/>
      <color rgb="FF7030A0"/>
      <name val="Arial"/>
      <family val="2"/>
    </font>
    <font>
      <sz val="11"/>
      <color theme="6"/>
      <name val="Arial"/>
      <family val="2"/>
    </font>
    <font>
      <sz val="10"/>
      <color theme="6"/>
      <name val="Arial"/>
      <family val="2"/>
    </font>
    <font>
      <b/>
      <sz val="10"/>
      <color theme="6"/>
      <name val="Arial"/>
      <family val="2"/>
    </font>
    <font>
      <b/>
      <sz val="8"/>
      <color theme="1"/>
      <name val="Arial"/>
      <family val="2"/>
    </font>
    <font>
      <b/>
      <sz val="10"/>
      <color theme="0"/>
      <name val="Arial"/>
      <family val="2"/>
    </font>
    <font>
      <sz val="11"/>
      <color rgb="FFFFC000"/>
      <name val="Arial"/>
      <family val="2"/>
    </font>
    <font>
      <sz val="10"/>
      <color rgb="FFFFC000"/>
      <name val="Arial"/>
      <family val="2"/>
    </font>
    <font>
      <sz val="11"/>
      <color theme="9" tint="-0.249977111117893"/>
      <name val="Arial"/>
      <family val="2"/>
    </font>
    <font>
      <sz val="10"/>
      <color theme="9" tint="-0.249977111117893"/>
      <name val="Arial"/>
      <family val="2"/>
    </font>
    <font>
      <sz val="10"/>
      <color theme="3" tint="0.39997558519241921"/>
      <name val="Arial"/>
      <family val="2"/>
    </font>
    <font>
      <u/>
      <sz val="10"/>
      <color rgb="FFFF0000"/>
      <name val="Arial"/>
      <family val="2"/>
    </font>
    <font>
      <b/>
      <i/>
      <sz val="11"/>
      <color theme="1"/>
      <name val="Arial"/>
      <family val="2"/>
    </font>
    <font>
      <b/>
      <i/>
      <sz val="11"/>
      <name val="Arial"/>
      <family val="2"/>
    </font>
    <font>
      <b/>
      <u/>
      <sz val="10"/>
      <color rgb="FFFF0000"/>
      <name val="Arial"/>
      <family val="2"/>
    </font>
    <font>
      <b/>
      <u/>
      <sz val="10"/>
      <color rgb="FF0070C0"/>
      <name val="Arial"/>
      <family val="2"/>
    </font>
    <font>
      <b/>
      <sz val="12"/>
      <color theme="0"/>
      <name val="Arial"/>
      <family val="2"/>
    </font>
    <font>
      <b/>
      <sz val="18"/>
      <name val="Arial"/>
      <family val="2"/>
    </font>
    <font>
      <b/>
      <sz val="9"/>
      <color rgb="FFFF0000"/>
      <name val="Arial"/>
      <family val="2"/>
    </font>
    <font>
      <b/>
      <sz val="9"/>
      <color rgb="FF0070C0"/>
      <name val="Arial"/>
      <family val="2"/>
    </font>
    <font>
      <b/>
      <sz val="9"/>
      <color theme="3" tint="-0.249977111117893"/>
      <name val="Arial"/>
      <family val="2"/>
    </font>
    <font>
      <b/>
      <sz val="10"/>
      <color theme="0" tint="-4.9989318521683403E-2"/>
      <name val="Arial"/>
      <family val="2"/>
    </font>
    <font>
      <sz val="12"/>
      <color theme="1"/>
      <name val="Arial"/>
      <family val="2"/>
    </font>
    <font>
      <sz val="12"/>
      <color theme="3" tint="-0.249977111117893"/>
      <name val="Arial"/>
      <family val="2"/>
    </font>
    <font>
      <b/>
      <u/>
      <sz val="12"/>
      <name val="Arial"/>
      <family val="2"/>
    </font>
    <font>
      <sz val="11"/>
      <color theme="0" tint="-0.14999847407452621"/>
      <name val="Arial"/>
      <family val="2"/>
    </font>
    <font>
      <sz val="10"/>
      <color theme="0" tint="-0.14999847407452621"/>
      <name val="Arial"/>
      <family val="2"/>
    </font>
    <font>
      <b/>
      <sz val="18"/>
      <color theme="0"/>
      <name val="Arial"/>
      <family val="2"/>
    </font>
    <font>
      <sz val="7"/>
      <color theme="0" tint="-0.34998626667073579"/>
      <name val="Arial"/>
      <family val="2"/>
    </font>
    <font>
      <sz val="11"/>
      <color theme="0"/>
      <name val="Arial"/>
      <family val="2"/>
    </font>
    <font>
      <sz val="11"/>
      <color theme="1"/>
      <name val="Calibri"/>
      <family val="2"/>
    </font>
  </fonts>
  <fills count="41">
    <fill>
      <patternFill patternType="none"/>
    </fill>
    <fill>
      <patternFill patternType="gray125"/>
    </fill>
    <fill>
      <patternFill patternType="solid">
        <fgColor theme="6" tint="0.59999389629810485"/>
        <bgColor indexed="64"/>
      </patternFill>
    </fill>
    <fill>
      <patternFill patternType="solid">
        <fgColor rgb="FFFFFF99"/>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lightTrellis">
        <fgColor theme="1" tint="0.499984740745262"/>
        <bgColor indexed="65"/>
      </patternFill>
    </fill>
    <fill>
      <patternFill patternType="solid">
        <fgColor rgb="FFFFFF00"/>
        <bgColor indexed="64"/>
      </patternFill>
    </fill>
    <fill>
      <patternFill patternType="lightGray">
        <fgColor theme="6" tint="0.59996337778862885"/>
        <bgColor indexed="65"/>
      </patternFill>
    </fill>
    <fill>
      <patternFill patternType="solid">
        <fgColor indexed="47"/>
        <bgColor indexed="64"/>
      </patternFill>
    </fill>
    <fill>
      <patternFill patternType="solid">
        <fgColor theme="5"/>
        <bgColor indexed="64"/>
      </patternFill>
    </fill>
    <fill>
      <patternFill patternType="solid">
        <fgColor theme="7" tint="0.79998168889431442"/>
        <bgColor indexed="64"/>
      </patternFill>
    </fill>
    <fill>
      <patternFill patternType="lightGray">
        <fgColor theme="6" tint="0.59996337778862885"/>
        <bgColor theme="0" tint="-4.9989318521683403E-2"/>
      </patternFill>
    </fill>
    <fill>
      <patternFill patternType="lightGray">
        <fgColor theme="6" tint="0.59996337778862885"/>
        <bgColor rgb="FFF2F2F2"/>
      </patternFill>
    </fill>
    <fill>
      <patternFill patternType="solid">
        <fgColor rgb="FFFFC000"/>
        <bgColor indexed="64"/>
      </patternFill>
    </fill>
    <fill>
      <patternFill patternType="solid">
        <fgColor rgb="FFF2F2F2"/>
        <bgColor indexed="64"/>
      </patternFill>
    </fill>
    <fill>
      <patternFill patternType="solid">
        <fgColor theme="5" tint="0.79998168889431442"/>
        <bgColor indexed="64"/>
      </patternFill>
    </fill>
    <fill>
      <patternFill patternType="solid">
        <fgColor rgb="FFFDECD9"/>
        <bgColor indexed="64"/>
      </patternFill>
    </fill>
    <fill>
      <patternFill patternType="solid">
        <fgColor theme="4" tint="0.59999389629810485"/>
        <bgColor indexed="65"/>
      </patternFill>
    </fill>
    <fill>
      <patternFill patternType="solid">
        <fgColor theme="6" tint="0.59999389629810485"/>
        <bgColor indexed="65"/>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BFD95"/>
        <bgColor indexed="64"/>
      </patternFill>
    </fill>
    <fill>
      <patternFill patternType="solid">
        <fgColor rgb="FFFFF4CA"/>
        <bgColor indexed="64"/>
      </patternFill>
    </fill>
    <fill>
      <patternFill patternType="solid">
        <fgColor theme="7" tint="0.59999389629810485"/>
        <bgColor indexed="64"/>
      </patternFill>
    </fill>
    <fill>
      <patternFill patternType="solid">
        <fgColor rgb="FFCCECFF"/>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9CCFF"/>
        <bgColor indexed="64"/>
      </patternFill>
    </fill>
    <fill>
      <patternFill patternType="solid">
        <fgColor rgb="FF00B0F0"/>
        <bgColor indexed="64"/>
      </patternFill>
    </fill>
    <fill>
      <patternFill patternType="solid">
        <fgColor rgb="FFFFFF66"/>
        <bgColor indexed="64"/>
      </patternFill>
    </fill>
    <fill>
      <patternFill patternType="solid">
        <fgColor rgb="FF00B050"/>
        <bgColor indexed="64"/>
      </patternFill>
    </fill>
    <fill>
      <patternFill patternType="solid">
        <fgColor theme="4"/>
        <bgColor indexed="64"/>
      </patternFill>
    </fill>
  </fills>
  <borders count="1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tted">
        <color theme="0" tint="-0.499984740745262"/>
      </bottom>
      <diagonal/>
    </border>
    <border>
      <left/>
      <right/>
      <top/>
      <bottom style="dotted">
        <color theme="0" tint="-0.499984740745262"/>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thin">
        <color indexed="64"/>
      </right>
      <top style="medium">
        <color theme="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theme="0"/>
      </bottom>
      <diagonal/>
    </border>
    <border>
      <left/>
      <right/>
      <top/>
      <bottom style="medium">
        <color theme="0"/>
      </bottom>
      <diagonal/>
    </border>
    <border>
      <left/>
      <right style="thin">
        <color indexed="64"/>
      </right>
      <top/>
      <bottom style="medium">
        <color theme="0"/>
      </bottom>
      <diagonal/>
    </border>
    <border>
      <left style="thin">
        <color indexed="64"/>
      </left>
      <right/>
      <top style="medium">
        <color theme="0"/>
      </top>
      <bottom style="medium">
        <color theme="0"/>
      </bottom>
      <diagonal/>
    </border>
    <border>
      <left/>
      <right/>
      <top style="medium">
        <color theme="0"/>
      </top>
      <bottom style="medium">
        <color theme="0"/>
      </bottom>
      <diagonal/>
    </border>
    <border>
      <left/>
      <right style="thin">
        <color indexed="64"/>
      </right>
      <top style="medium">
        <color theme="0"/>
      </top>
      <bottom style="medium">
        <color theme="0"/>
      </bottom>
      <diagonal/>
    </border>
    <border>
      <left style="thin">
        <color indexed="64"/>
      </left>
      <right/>
      <top style="medium">
        <color theme="0"/>
      </top>
      <bottom/>
      <diagonal/>
    </border>
    <border>
      <left/>
      <right/>
      <top style="medium">
        <color theme="0"/>
      </top>
      <bottom/>
      <diagonal/>
    </border>
    <border>
      <left/>
      <right style="thin">
        <color indexed="64"/>
      </right>
      <top style="medium">
        <color theme="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top/>
      <bottom style="double">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theme="0"/>
      </top>
      <bottom style="thin">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6" tint="-0.24994659260841701"/>
      </left>
      <right/>
      <top style="medium">
        <color theme="6" tint="-0.24994659260841701"/>
      </top>
      <bottom/>
      <diagonal/>
    </border>
    <border>
      <left style="medium">
        <color theme="6" tint="-0.24994659260841701"/>
      </left>
      <right/>
      <top/>
      <bottom style="medium">
        <color theme="6" tint="-0.24994659260841701"/>
      </bottom>
      <diagonal/>
    </border>
    <border>
      <left style="dotted">
        <color auto="1"/>
      </left>
      <right style="dotted">
        <color auto="1"/>
      </right>
      <top/>
      <bottom style="medium">
        <color rgb="FF0070C0"/>
      </bottom>
      <diagonal/>
    </border>
    <border>
      <left style="dotted">
        <color auto="1"/>
      </left>
      <right style="dotted">
        <color auto="1"/>
      </right>
      <top/>
      <bottom/>
      <diagonal/>
    </border>
    <border>
      <left style="dotted">
        <color auto="1"/>
      </left>
      <right style="dotted">
        <color auto="1"/>
      </right>
      <top style="medium">
        <color theme="6" tint="-0.24994659260841701"/>
      </top>
      <bottom/>
      <diagonal/>
    </border>
    <border>
      <left style="dotted">
        <color auto="1"/>
      </left>
      <right style="dotted">
        <color auto="1"/>
      </right>
      <top/>
      <bottom style="medium">
        <color theme="6" tint="-0.24994659260841701"/>
      </bottom>
      <diagonal/>
    </border>
    <border>
      <left style="dotted">
        <color auto="1"/>
      </left>
      <right style="dotted">
        <color auto="1"/>
      </right>
      <top style="medium">
        <color rgb="FF0070C0"/>
      </top>
      <bottom/>
      <diagonal/>
    </border>
    <border>
      <left style="medium">
        <color auto="1"/>
      </left>
      <right style="medium">
        <color auto="1"/>
      </right>
      <top style="medium">
        <color auto="1"/>
      </top>
      <bottom/>
      <diagonal/>
    </border>
    <border>
      <left style="dotted">
        <color auto="1"/>
      </left>
      <right style="medium">
        <color theme="6" tint="-0.24994659260841701"/>
      </right>
      <top style="medium">
        <color theme="6" tint="-0.24994659260841701"/>
      </top>
      <bottom/>
      <diagonal/>
    </border>
    <border>
      <left style="dotted">
        <color auto="1"/>
      </left>
      <right style="medium">
        <color theme="6" tint="-0.24994659260841701"/>
      </right>
      <top/>
      <bottom style="medium">
        <color theme="6" tint="-0.24994659260841701"/>
      </bottom>
      <diagonal/>
    </border>
    <border>
      <left style="dotted">
        <color auto="1"/>
      </left>
      <right style="medium">
        <color rgb="FF0070C0"/>
      </right>
      <top style="medium">
        <color rgb="FF0070C0"/>
      </top>
      <bottom/>
      <diagonal/>
    </border>
    <border>
      <left style="dotted">
        <color auto="1"/>
      </left>
      <right style="medium">
        <color rgb="FF0070C0"/>
      </right>
      <top/>
      <bottom style="medium">
        <color rgb="FF0070C0"/>
      </bottom>
      <diagonal/>
    </border>
    <border>
      <left style="dotted">
        <color auto="1"/>
      </left>
      <right style="medium">
        <color rgb="FF0070C0"/>
      </right>
      <top/>
      <bottom/>
      <diagonal/>
    </border>
    <border>
      <left style="medium">
        <color rgb="FF0070C0"/>
      </left>
      <right style="dotted">
        <color auto="1"/>
      </right>
      <top style="medium">
        <color rgb="FF0070C0"/>
      </top>
      <bottom/>
      <diagonal/>
    </border>
    <border>
      <left style="medium">
        <color rgb="FF0070C0"/>
      </left>
      <right style="dotted">
        <color auto="1"/>
      </right>
      <top/>
      <bottom style="medium">
        <color rgb="FF0070C0"/>
      </bottom>
      <diagonal/>
    </border>
    <border>
      <left style="medium">
        <color rgb="FF0070C0"/>
      </left>
      <right style="dotted">
        <color auto="1"/>
      </right>
      <top/>
      <bottom/>
      <diagonal/>
    </border>
    <border>
      <left style="dotted">
        <color auto="1"/>
      </left>
      <right style="dotted">
        <color auto="1"/>
      </right>
      <top style="medium">
        <color indexed="64"/>
      </top>
      <bottom/>
      <diagonal/>
    </border>
    <border>
      <left style="dotted">
        <color auto="1"/>
      </left>
      <right style="dotted">
        <color auto="1"/>
      </right>
      <top/>
      <bottom style="medium">
        <color indexed="64"/>
      </bottom>
      <diagonal/>
    </border>
    <border>
      <left style="dotted">
        <color auto="1"/>
      </left>
      <right style="medium">
        <color auto="1"/>
      </right>
      <top style="medium">
        <color indexed="64"/>
      </top>
      <bottom/>
      <diagonal/>
    </border>
    <border>
      <left style="dotted">
        <color auto="1"/>
      </left>
      <right style="medium">
        <color auto="1"/>
      </right>
      <top/>
      <bottom style="medium">
        <color indexed="64"/>
      </bottom>
      <diagonal/>
    </border>
    <border>
      <left style="medium">
        <color indexed="64"/>
      </left>
      <right style="dotted">
        <color auto="1"/>
      </right>
      <top style="medium">
        <color indexed="64"/>
      </top>
      <bottom/>
      <diagonal/>
    </border>
    <border>
      <left style="medium">
        <color indexed="64"/>
      </left>
      <right style="dotted">
        <color auto="1"/>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style="medium">
        <color indexed="64"/>
      </left>
      <right style="thin">
        <color indexed="64"/>
      </right>
      <top style="thin">
        <color indexed="64"/>
      </top>
      <bottom/>
      <diagonal/>
    </border>
    <border>
      <left style="dotted">
        <color auto="1"/>
      </left>
      <right style="dotted">
        <color auto="1"/>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style="dotted">
        <color theme="1"/>
      </left>
      <right/>
      <top style="medium">
        <color rgb="FFFF0000"/>
      </top>
      <bottom/>
      <diagonal/>
    </border>
    <border>
      <left style="dotted">
        <color auto="1"/>
      </left>
      <right style="dotted">
        <color auto="1"/>
      </right>
      <top style="medium">
        <color rgb="FFFF0000"/>
      </top>
      <bottom/>
      <diagonal/>
    </border>
    <border>
      <left style="dotted">
        <color auto="1"/>
      </left>
      <right style="dotted">
        <color theme="1"/>
      </right>
      <top style="medium">
        <color rgb="FFFF0000"/>
      </top>
      <bottom/>
      <diagonal/>
    </border>
    <border>
      <left/>
      <right style="medium">
        <color rgb="FFFF0000"/>
      </right>
      <top style="medium">
        <color rgb="FFFF0000"/>
      </top>
      <bottom/>
      <diagonal/>
    </border>
    <border>
      <left/>
      <right/>
      <top/>
      <bottom style="dotted">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auto="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thin">
        <color indexed="64"/>
      </left>
      <right style="thin">
        <color indexed="64"/>
      </right>
      <top/>
      <bottom style="thin">
        <color theme="1" tint="0.499984740745262"/>
      </bottom>
      <diagonal/>
    </border>
    <border>
      <left style="thin">
        <color indexed="64"/>
      </left>
      <right style="thin">
        <color indexed="64"/>
      </right>
      <top style="thin">
        <color theme="1" tint="0.499984740745262"/>
      </top>
      <bottom/>
      <diagonal/>
    </border>
  </borders>
  <cellStyleXfs count="23">
    <xf numFmtId="0" fontId="0" fillId="0" borderId="0"/>
    <xf numFmtId="164" fontId="29" fillId="0" borderId="0" applyFont="0" applyFill="0" applyBorder="0" applyAlignment="0" applyProtection="0"/>
    <xf numFmtId="0" fontId="42" fillId="0" borderId="0" applyNumberFormat="0" applyFill="0" applyBorder="0" applyAlignment="0" applyProtection="0">
      <alignment vertical="top"/>
      <protection locked="0"/>
    </xf>
    <xf numFmtId="44" fontId="29" fillId="0" borderId="0" applyFont="0" applyFill="0" applyBorder="0" applyAlignment="0" applyProtection="0"/>
    <xf numFmtId="9" fontId="29" fillId="0" borderId="0" applyFont="0" applyFill="0" applyBorder="0" applyAlignment="0" applyProtection="0"/>
    <xf numFmtId="0" fontId="29" fillId="19" borderId="111" applyNumberFormat="0" applyAlignment="0">
      <protection locked="0"/>
    </xf>
    <xf numFmtId="0" fontId="29" fillId="20" borderId="0" applyNumberFormat="0" applyBorder="0" applyAlignment="0" applyProtection="0"/>
    <xf numFmtId="0" fontId="29" fillId="21" borderId="0" applyNumberFormat="0" applyBorder="0" applyAlignment="0" applyProtection="0"/>
    <xf numFmtId="179" fontId="40" fillId="0" borderId="0" applyFont="0" applyFill="0" applyBorder="0" applyAlignment="0" applyProtection="0"/>
    <xf numFmtId="0" fontId="29" fillId="20" borderId="0" applyNumberFormat="0" applyFont="0" applyBorder="0" applyAlignment="0" applyProtection="0"/>
    <xf numFmtId="0" fontId="29" fillId="21" borderId="0" applyNumberFormat="0" applyFont="0" applyBorder="0" applyAlignment="0" applyProtection="0"/>
    <xf numFmtId="14" fontId="40" fillId="19" borderId="14" applyFont="0" applyFill="0" applyBorder="0" applyAlignment="0" applyProtection="0">
      <alignment vertical="center"/>
      <protection locked="0"/>
    </xf>
    <xf numFmtId="0" fontId="29" fillId="19" borderId="111" applyNumberFormat="0" applyAlignment="0">
      <protection locked="0"/>
    </xf>
    <xf numFmtId="0" fontId="33" fillId="19" borderId="14" applyNumberFormat="0" applyFont="0" applyAlignment="0">
      <protection locked="0"/>
    </xf>
    <xf numFmtId="0" fontId="40" fillId="0" borderId="0" applyNumberFormat="0" applyFont="0" applyBorder="0" applyAlignment="0"/>
    <xf numFmtId="0" fontId="40" fillId="23" borderId="0" applyNumberFormat="0" applyFont="0" applyBorder="0" applyAlignment="0" applyProtection="0"/>
    <xf numFmtId="0" fontId="40" fillId="0" borderId="0" applyBorder="0">
      <alignment vertical="center"/>
    </xf>
    <xf numFmtId="2" fontId="40" fillId="0" borderId="0" applyFont="0" applyFill="0" applyBorder="0" applyAlignment="0" applyProtection="0"/>
    <xf numFmtId="49" fontId="40" fillId="0" borderId="0" applyFont="0" applyFill="0" applyBorder="0" applyAlignment="0" applyProtection="0">
      <alignment vertical="center"/>
    </xf>
    <xf numFmtId="180" fontId="40"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40" fillId="0" borderId="0" applyBorder="0">
      <alignment vertical="center"/>
    </xf>
  </cellStyleXfs>
  <cellXfs count="1585">
    <xf numFmtId="0" fontId="0" fillId="0" borderId="0" xfId="0"/>
    <xf numFmtId="0" fontId="28" fillId="0" borderId="0" xfId="0" applyFont="1"/>
    <xf numFmtId="0" fontId="0" fillId="0" borderId="4" xfId="0" applyBorder="1" applyProtection="1">
      <protection hidden="1"/>
    </xf>
    <xf numFmtId="0" fontId="0" fillId="0" borderId="0" xfId="0" applyProtection="1">
      <protection hidden="1"/>
    </xf>
    <xf numFmtId="0" fontId="0" fillId="0" borderId="5" xfId="0" applyBorder="1" applyProtection="1">
      <protection hidden="1"/>
    </xf>
    <xf numFmtId="0" fontId="34" fillId="0" borderId="0" xfId="0" applyFont="1" applyProtection="1">
      <protection hidden="1"/>
    </xf>
    <xf numFmtId="0" fontId="34" fillId="0" borderId="0" xfId="0" applyFont="1" applyAlignment="1" applyProtection="1">
      <alignment horizontal="right"/>
      <protection hidden="1"/>
    </xf>
    <xf numFmtId="0" fontId="35" fillId="0" borderId="0" xfId="0" applyFont="1" applyAlignment="1" applyProtection="1">
      <alignment horizontal="center"/>
      <protection hidden="1"/>
    </xf>
    <xf numFmtId="0" fontId="36" fillId="0" borderId="0" xfId="0" applyFont="1" applyAlignment="1" applyProtection="1">
      <alignment horizontal="right"/>
      <protection hidden="1"/>
    </xf>
    <xf numFmtId="0" fontId="36" fillId="0" borderId="0" xfId="0" applyFont="1" applyProtection="1">
      <protection hidden="1"/>
    </xf>
    <xf numFmtId="0" fontId="30" fillId="0" borderId="0" xfId="0" applyFont="1" applyProtection="1">
      <protection hidden="1"/>
    </xf>
    <xf numFmtId="0" fontId="28" fillId="0" borderId="0" xfId="0" applyFont="1" applyProtection="1">
      <protection hidden="1"/>
    </xf>
    <xf numFmtId="0" fontId="40" fillId="0" borderId="5" xfId="0" applyFont="1" applyBorder="1" applyProtection="1">
      <protection hidden="1"/>
    </xf>
    <xf numFmtId="0" fontId="41" fillId="0" borderId="0" xfId="0" applyFont="1" applyAlignment="1" applyProtection="1">
      <alignment vertical="top"/>
      <protection hidden="1"/>
    </xf>
    <xf numFmtId="0" fontId="41" fillId="0" borderId="5" xfId="0" applyFont="1" applyBorder="1" applyAlignment="1" applyProtection="1">
      <alignment vertical="top"/>
      <protection hidden="1"/>
    </xf>
    <xf numFmtId="0" fontId="41" fillId="0" borderId="0" xfId="0" applyFont="1" applyProtection="1">
      <protection hidden="1"/>
    </xf>
    <xf numFmtId="0" fontId="35" fillId="0" borderId="0" xfId="0" applyFont="1" applyProtection="1">
      <protection hidden="1"/>
    </xf>
    <xf numFmtId="0" fontId="28" fillId="0" borderId="0" xfId="0" applyFont="1" applyAlignment="1" applyProtection="1">
      <alignment horizontal="right"/>
      <protection hidden="1"/>
    </xf>
    <xf numFmtId="0" fontId="0" fillId="3" borderId="0" xfId="0" applyFill="1" applyProtection="1">
      <protection locked="0"/>
    </xf>
    <xf numFmtId="0" fontId="40" fillId="0" borderId="4" xfId="0" applyFont="1" applyBorder="1"/>
    <xf numFmtId="0" fontId="35" fillId="0" borderId="0" xfId="0" applyFont="1"/>
    <xf numFmtId="0" fontId="40" fillId="0" borderId="0" xfId="0" applyFont="1"/>
    <xf numFmtId="2" fontId="40" fillId="0" borderId="0" xfId="0" applyNumberFormat="1" applyFont="1" applyAlignment="1">
      <alignment horizontal="right"/>
    </xf>
    <xf numFmtId="2" fontId="40" fillId="0" borderId="0" xfId="0" applyNumberFormat="1" applyFont="1" applyAlignment="1">
      <alignment horizontal="center"/>
    </xf>
    <xf numFmtId="0" fontId="0" fillId="0" borderId="5" xfId="0" applyBorder="1"/>
    <xf numFmtId="2" fontId="0" fillId="0" borderId="0" xfId="0" applyNumberFormat="1" applyProtection="1">
      <protection hidden="1"/>
    </xf>
    <xf numFmtId="0" fontId="28" fillId="0" borderId="4" xfId="0" applyFont="1" applyBorder="1"/>
    <xf numFmtId="14" fontId="28" fillId="0" borderId="0" xfId="0" applyNumberFormat="1" applyFont="1" applyAlignment="1">
      <alignment horizontal="right"/>
    </xf>
    <xf numFmtId="0" fontId="28" fillId="0" borderId="5" xfId="0" applyFont="1" applyBorder="1"/>
    <xf numFmtId="0" fontId="0" fillId="0" borderId="4" xfId="0" applyBorder="1"/>
    <xf numFmtId="0" fontId="0" fillId="0" borderId="2" xfId="0" applyBorder="1"/>
    <xf numFmtId="0" fontId="41" fillId="0" borderId="2" xfId="0" applyFont="1" applyBorder="1" applyAlignment="1">
      <alignment vertical="top"/>
    </xf>
    <xf numFmtId="0" fontId="41" fillId="0" borderId="2" xfId="0" applyFont="1" applyBorder="1" applyAlignment="1" applyProtection="1">
      <alignment horizontal="center" vertical="top"/>
      <protection hidden="1"/>
    </xf>
    <xf numFmtId="0" fontId="41" fillId="0" borderId="2" xfId="0" applyFont="1" applyBorder="1" applyAlignment="1">
      <alignment horizontal="center" vertical="top"/>
    </xf>
    <xf numFmtId="0" fontId="0" fillId="0" borderId="3" xfId="0" applyBorder="1"/>
    <xf numFmtId="0" fontId="28" fillId="0" borderId="16" xfId="0" applyFont="1" applyBorder="1"/>
    <xf numFmtId="0" fontId="28" fillId="0" borderId="17" xfId="0" applyFont="1" applyBorder="1"/>
    <xf numFmtId="0" fontId="28" fillId="0" borderId="6" xfId="0" applyFont="1" applyBorder="1" applyProtection="1">
      <protection hidden="1"/>
    </xf>
    <xf numFmtId="0" fontId="28" fillId="0" borderId="7" xfId="0" applyFont="1" applyBorder="1" applyProtection="1">
      <protection hidden="1"/>
    </xf>
    <xf numFmtId="0" fontId="28" fillId="0" borderId="4" xfId="0" applyFont="1" applyBorder="1" applyProtection="1">
      <protection hidden="1"/>
    </xf>
    <xf numFmtId="2" fontId="40" fillId="0" borderId="7" xfId="0" applyNumberFormat="1" applyFont="1" applyBorder="1" applyProtection="1">
      <protection hidden="1"/>
    </xf>
    <xf numFmtId="0" fontId="28" fillId="0" borderId="7" xfId="0" applyFont="1" applyBorder="1" applyAlignment="1" applyProtection="1">
      <alignment horizontal="right"/>
      <protection hidden="1"/>
    </xf>
    <xf numFmtId="2" fontId="28" fillId="0" borderId="7" xfId="0" applyNumberFormat="1" applyFont="1" applyBorder="1" applyAlignment="1" applyProtection="1">
      <alignment horizontal="right"/>
      <protection hidden="1"/>
    </xf>
    <xf numFmtId="0" fontId="28" fillId="0" borderId="7" xfId="0" applyFont="1" applyBorder="1"/>
    <xf numFmtId="0" fontId="28" fillId="0" borderId="8" xfId="0" applyFont="1" applyBorder="1"/>
    <xf numFmtId="2" fontId="40" fillId="0" borderId="0" xfId="0" applyNumberFormat="1" applyFont="1" applyProtection="1">
      <protection hidden="1"/>
    </xf>
    <xf numFmtId="0" fontId="28" fillId="0" borderId="5" xfId="0" applyFont="1" applyBorder="1" applyProtection="1">
      <protection hidden="1"/>
    </xf>
    <xf numFmtId="0" fontId="34" fillId="0" borderId="0" xfId="0" applyFont="1" applyAlignment="1" applyProtection="1">
      <alignment vertical="center"/>
      <protection hidden="1"/>
    </xf>
    <xf numFmtId="165" fontId="28" fillId="3" borderId="14" xfId="0" applyNumberFormat="1" applyFont="1" applyFill="1" applyBorder="1" applyProtection="1">
      <protection locked="0"/>
    </xf>
    <xf numFmtId="0" fontId="0" fillId="0" borderId="4" xfId="0" applyBorder="1" applyAlignment="1" applyProtection="1">
      <alignment vertical="center"/>
      <protection hidden="1"/>
    </xf>
    <xf numFmtId="0" fontId="28" fillId="0" borderId="0" xfId="0" applyFont="1" applyAlignment="1" applyProtection="1">
      <alignment vertical="center"/>
      <protection hidden="1"/>
    </xf>
    <xf numFmtId="0" fontId="0" fillId="0" borderId="0" xfId="0" applyAlignment="1" applyProtection="1">
      <alignment vertical="center"/>
      <protection hidden="1"/>
    </xf>
    <xf numFmtId="0" fontId="0" fillId="0" borderId="5" xfId="0" applyBorder="1" applyAlignment="1" applyProtection="1">
      <alignment vertical="center"/>
      <protection hidden="1"/>
    </xf>
    <xf numFmtId="0" fontId="39" fillId="0" borderId="0" xfId="0" applyFont="1" applyAlignment="1" applyProtection="1">
      <alignment vertical="center"/>
      <protection hidden="1"/>
    </xf>
    <xf numFmtId="0" fontId="0" fillId="0" borderId="6" xfId="0" applyBorder="1" applyProtection="1">
      <protection hidden="1"/>
    </xf>
    <xf numFmtId="0" fontId="0" fillId="0" borderId="7" xfId="0" applyBorder="1" applyProtection="1">
      <protection hidden="1"/>
    </xf>
    <xf numFmtId="0" fontId="39" fillId="0" borderId="0" xfId="0" applyFont="1"/>
    <xf numFmtId="0" fontId="43" fillId="0" borderId="0" xfId="0" applyFont="1" applyProtection="1">
      <protection hidden="1"/>
    </xf>
    <xf numFmtId="0" fontId="44" fillId="0" borderId="0" xfId="0" applyFont="1" applyProtection="1">
      <protection hidden="1"/>
    </xf>
    <xf numFmtId="0" fontId="35" fillId="0" borderId="4" xfId="0" applyFont="1" applyBorder="1" applyAlignment="1" applyProtection="1">
      <alignment horizontal="center"/>
      <protection hidden="1"/>
    </xf>
    <xf numFmtId="0" fontId="35" fillId="0" borderId="5" xfId="0" applyFont="1" applyBorder="1" applyAlignment="1" applyProtection="1">
      <alignment horizontal="center"/>
      <protection hidden="1"/>
    </xf>
    <xf numFmtId="0" fontId="39" fillId="0" borderId="0" xfId="0" applyFont="1" applyProtection="1">
      <protection hidden="1"/>
    </xf>
    <xf numFmtId="0" fontId="28" fillId="0" borderId="4" xfId="0" applyFont="1" applyBorder="1" applyAlignment="1" applyProtection="1">
      <alignment vertical="center"/>
      <protection hidden="1"/>
    </xf>
    <xf numFmtId="0" fontId="35" fillId="7" borderId="14" xfId="0" applyFont="1" applyFill="1" applyBorder="1" applyAlignment="1" applyProtection="1">
      <alignment horizontal="center" vertical="center"/>
      <protection hidden="1"/>
    </xf>
    <xf numFmtId="0" fontId="35" fillId="0" borderId="0" xfId="0" applyFont="1" applyAlignment="1" applyProtection="1">
      <alignment horizontal="center" vertical="center"/>
      <protection hidden="1"/>
    </xf>
    <xf numFmtId="0" fontId="35" fillId="0" borderId="0" xfId="0" applyFont="1" applyAlignment="1" applyProtection="1">
      <alignment horizontal="right" vertical="center"/>
      <protection hidden="1"/>
    </xf>
    <xf numFmtId="0" fontId="28" fillId="0" borderId="5" xfId="0" applyFont="1" applyBorder="1" applyAlignment="1" applyProtection="1">
      <alignment vertical="center"/>
      <protection hidden="1"/>
    </xf>
    <xf numFmtId="0" fontId="34" fillId="0" borderId="4" xfId="0" applyFont="1" applyBorder="1" applyProtection="1">
      <protection hidden="1"/>
    </xf>
    <xf numFmtId="0" fontId="45" fillId="0" borderId="0" xfId="0" applyFont="1" applyAlignment="1" applyProtection="1">
      <alignment horizontal="right"/>
      <protection hidden="1"/>
    </xf>
    <xf numFmtId="0" fontId="45" fillId="0" borderId="0" xfId="0" applyFont="1" applyProtection="1">
      <protection hidden="1"/>
    </xf>
    <xf numFmtId="0" fontId="35" fillId="0" borderId="0" xfId="0" applyFont="1" applyAlignment="1" applyProtection="1">
      <alignment horizontal="left" vertical="center"/>
      <protection hidden="1"/>
    </xf>
    <xf numFmtId="0" fontId="35" fillId="3" borderId="14" xfId="0" applyFont="1" applyFill="1" applyBorder="1" applyAlignment="1" applyProtection="1">
      <alignment horizontal="center" vertical="center"/>
      <protection locked="0"/>
    </xf>
    <xf numFmtId="20" fontId="28" fillId="3" borderId="14" xfId="0" applyNumberFormat="1" applyFont="1" applyFill="1" applyBorder="1" applyAlignment="1" applyProtection="1">
      <alignment horizontal="center" vertical="center"/>
      <protection locked="0"/>
    </xf>
    <xf numFmtId="166" fontId="28" fillId="7" borderId="0" xfId="0" applyNumberFormat="1" applyFont="1" applyFill="1" applyProtection="1">
      <protection hidden="1"/>
    </xf>
    <xf numFmtId="0" fontId="28" fillId="0" borderId="19" xfId="0" applyFont="1" applyBorder="1" applyProtection="1">
      <protection hidden="1"/>
    </xf>
    <xf numFmtId="0" fontId="28" fillId="2" borderId="20" xfId="0" applyFont="1" applyFill="1" applyBorder="1" applyAlignment="1" applyProtection="1">
      <alignment horizontal="center"/>
      <protection hidden="1"/>
    </xf>
    <xf numFmtId="0" fontId="28" fillId="2" borderId="21" xfId="0" applyFont="1" applyFill="1" applyBorder="1" applyAlignment="1" applyProtection="1">
      <alignment horizontal="center"/>
      <protection hidden="1"/>
    </xf>
    <xf numFmtId="0" fontId="28" fillId="2" borderId="22" xfId="0" applyFont="1" applyFill="1" applyBorder="1" applyAlignment="1" applyProtection="1">
      <alignment horizontal="center"/>
      <protection hidden="1"/>
    </xf>
    <xf numFmtId="0" fontId="28" fillId="0" borderId="0" xfId="0" applyFont="1" applyAlignment="1" applyProtection="1">
      <alignment horizontal="center"/>
      <protection hidden="1"/>
    </xf>
    <xf numFmtId="0" fontId="34" fillId="0" borderId="19" xfId="0" applyFont="1" applyBorder="1" applyProtection="1">
      <protection hidden="1"/>
    </xf>
    <xf numFmtId="0" fontId="28" fillId="2" borderId="23" xfId="0" applyFont="1" applyFill="1" applyBorder="1" applyAlignment="1" applyProtection="1">
      <alignment horizontal="center"/>
      <protection hidden="1"/>
    </xf>
    <xf numFmtId="1" fontId="28" fillId="7" borderId="23" xfId="0" applyNumberFormat="1" applyFont="1" applyFill="1" applyBorder="1" applyAlignment="1" applyProtection="1">
      <alignment horizontal="center"/>
      <protection hidden="1"/>
    </xf>
    <xf numFmtId="0" fontId="34" fillId="0" borderId="24" xfId="0" applyFont="1" applyBorder="1" applyProtection="1">
      <protection hidden="1"/>
    </xf>
    <xf numFmtId="0" fontId="28" fillId="0" borderId="24" xfId="0" applyFont="1" applyBorder="1" applyProtection="1">
      <protection hidden="1"/>
    </xf>
    <xf numFmtId="0" fontId="40" fillId="0" borderId="0" xfId="0" applyFont="1" applyAlignment="1" applyProtection="1">
      <alignment horizontal="right"/>
      <protection hidden="1"/>
    </xf>
    <xf numFmtId="0" fontId="31" fillId="0" borderId="4" xfId="0" applyFont="1" applyBorder="1" applyProtection="1">
      <protection hidden="1"/>
    </xf>
    <xf numFmtId="0" fontId="34" fillId="0" borderId="5" xfId="0" applyFont="1" applyBorder="1" applyProtection="1">
      <protection hidden="1"/>
    </xf>
    <xf numFmtId="14" fontId="34" fillId="0" borderId="5" xfId="0" applyNumberFormat="1" applyFont="1" applyBorder="1" applyAlignment="1" applyProtection="1">
      <alignment horizontal="center"/>
      <protection hidden="1"/>
    </xf>
    <xf numFmtId="0" fontId="28" fillId="2" borderId="25" xfId="0" applyFont="1" applyFill="1" applyBorder="1" applyAlignment="1" applyProtection="1">
      <alignment horizontal="left"/>
      <protection hidden="1"/>
    </xf>
    <xf numFmtId="1" fontId="28" fillId="2" borderId="26" xfId="0" applyNumberFormat="1" applyFont="1" applyFill="1" applyBorder="1" applyAlignment="1" applyProtection="1">
      <alignment horizontal="center"/>
      <protection hidden="1"/>
    </xf>
    <xf numFmtId="1" fontId="48" fillId="2" borderId="27" xfId="0" applyNumberFormat="1" applyFont="1" applyFill="1" applyBorder="1" applyAlignment="1" applyProtection="1">
      <alignment horizontal="center"/>
      <protection hidden="1"/>
    </xf>
    <xf numFmtId="0" fontId="28" fillId="3" borderId="25" xfId="0" applyFont="1" applyFill="1" applyBorder="1" applyAlignment="1" applyProtection="1">
      <alignment horizontal="center"/>
      <protection locked="0"/>
    </xf>
    <xf numFmtId="0" fontId="28" fillId="2" borderId="28" xfId="0" applyFont="1" applyFill="1" applyBorder="1" applyAlignment="1" applyProtection="1">
      <alignment horizontal="left"/>
      <protection hidden="1"/>
    </xf>
    <xf numFmtId="1" fontId="28" fillId="2" borderId="29" xfId="0" applyNumberFormat="1" applyFont="1" applyFill="1" applyBorder="1" applyAlignment="1" applyProtection="1">
      <alignment horizontal="center"/>
      <protection hidden="1"/>
    </xf>
    <xf numFmtId="1" fontId="48" fillId="2" borderId="30" xfId="0" applyNumberFormat="1" applyFont="1" applyFill="1" applyBorder="1" applyAlignment="1" applyProtection="1">
      <alignment horizontal="center"/>
      <protection hidden="1"/>
    </xf>
    <xf numFmtId="0" fontId="28" fillId="3" borderId="28" xfId="0" applyFont="1" applyFill="1" applyBorder="1" applyAlignment="1" applyProtection="1">
      <alignment horizontal="center"/>
      <protection locked="0"/>
    </xf>
    <xf numFmtId="0" fontId="28" fillId="0" borderId="6" xfId="0" applyFont="1" applyBorder="1" applyAlignment="1" applyProtection="1">
      <alignment horizontal="left"/>
      <protection hidden="1"/>
    </xf>
    <xf numFmtId="1" fontId="28" fillId="0" borderId="7" xfId="0" applyNumberFormat="1" applyFont="1" applyBorder="1" applyAlignment="1" applyProtection="1">
      <alignment horizontal="center"/>
      <protection hidden="1"/>
    </xf>
    <xf numFmtId="1" fontId="48" fillId="0" borderId="8" xfId="0" applyNumberFormat="1" applyFont="1" applyBorder="1" applyAlignment="1" applyProtection="1">
      <alignment horizontal="center"/>
      <protection hidden="1"/>
    </xf>
    <xf numFmtId="0" fontId="28" fillId="0" borderId="8" xfId="0" applyFont="1" applyBorder="1" applyProtection="1">
      <protection hidden="1"/>
    </xf>
    <xf numFmtId="0" fontId="34" fillId="0" borderId="7" xfId="0" applyFont="1" applyBorder="1" applyProtection="1">
      <protection hidden="1"/>
    </xf>
    <xf numFmtId="0" fontId="51" fillId="0" borderId="0" xfId="0" applyFont="1" applyProtection="1">
      <protection hidden="1"/>
    </xf>
    <xf numFmtId="0" fontId="52" fillId="0" borderId="0" xfId="0" applyFont="1" applyProtection="1">
      <protection hidden="1"/>
    </xf>
    <xf numFmtId="0" fontId="53" fillId="0" borderId="0" xfId="0" applyFont="1" applyProtection="1">
      <protection hidden="1"/>
    </xf>
    <xf numFmtId="0" fontId="54" fillId="0" borderId="0" xfId="0" applyFont="1" applyProtection="1">
      <protection hidden="1"/>
    </xf>
    <xf numFmtId="0" fontId="40" fillId="0" borderId="0" xfId="0" applyFont="1" applyProtection="1">
      <protection hidden="1"/>
    </xf>
    <xf numFmtId="0" fontId="55" fillId="0" borderId="0" xfId="0" applyFont="1"/>
    <xf numFmtId="0" fontId="40" fillId="0" borderId="7" xfId="0" applyFont="1" applyBorder="1"/>
    <xf numFmtId="0" fontId="40" fillId="0" borderId="5" xfId="0" applyFont="1" applyBorder="1"/>
    <xf numFmtId="0" fontId="40" fillId="0" borderId="0" xfId="0" applyFont="1" applyAlignment="1">
      <alignment horizontal="center"/>
    </xf>
    <xf numFmtId="0" fontId="40" fillId="0" borderId="23" xfId="0" applyFont="1" applyBorder="1" applyAlignment="1">
      <alignment horizontal="center"/>
    </xf>
    <xf numFmtId="0" fontId="40" fillId="0" borderId="19" xfId="0" applyFont="1" applyBorder="1" applyAlignment="1">
      <alignment horizontal="center"/>
    </xf>
    <xf numFmtId="0" fontId="39" fillId="0" borderId="0" xfId="0" applyFont="1" applyAlignment="1">
      <alignment horizontal="center"/>
    </xf>
    <xf numFmtId="14" fontId="40" fillId="7" borderId="19" xfId="0" applyNumberFormat="1" applyFont="1" applyFill="1" applyBorder="1" applyAlignment="1">
      <alignment horizontal="center"/>
    </xf>
    <xf numFmtId="0" fontId="41" fillId="0" borderId="24" xfId="0" applyFont="1" applyBorder="1" applyAlignment="1">
      <alignment horizontal="center"/>
    </xf>
    <xf numFmtId="167" fontId="40" fillId="0" borderId="0" xfId="0" applyNumberFormat="1" applyFont="1"/>
    <xf numFmtId="0" fontId="35" fillId="2" borderId="0" xfId="0" applyFont="1" applyFill="1"/>
    <xf numFmtId="0" fontId="40" fillId="2" borderId="0" xfId="0" applyFont="1" applyFill="1"/>
    <xf numFmtId="1" fontId="35" fillId="3" borderId="34" xfId="0" applyNumberFormat="1" applyFont="1" applyFill="1" applyBorder="1" applyAlignment="1" applyProtection="1">
      <alignment horizontal="center"/>
      <protection locked="0"/>
    </xf>
    <xf numFmtId="1" fontId="35" fillId="3" borderId="35" xfId="0" applyNumberFormat="1" applyFont="1" applyFill="1" applyBorder="1" applyAlignment="1" applyProtection="1">
      <alignment horizontal="center"/>
      <protection locked="0"/>
    </xf>
    <xf numFmtId="0" fontId="40" fillId="0" borderId="4" xfId="0" applyFont="1" applyBorder="1" applyProtection="1">
      <protection hidden="1"/>
    </xf>
    <xf numFmtId="0" fontId="45" fillId="0" borderId="0" xfId="0" applyFont="1"/>
    <xf numFmtId="0" fontId="28" fillId="0" borderId="6" xfId="0" applyFont="1" applyBorder="1"/>
    <xf numFmtId="0" fontId="39" fillId="0" borderId="7" xfId="0" applyFont="1" applyBorder="1"/>
    <xf numFmtId="0" fontId="56" fillId="0" borderId="0" xfId="0" applyFont="1"/>
    <xf numFmtId="0" fontId="58" fillId="0" borderId="0" xfId="0" applyFont="1" applyProtection="1">
      <protection hidden="1"/>
    </xf>
    <xf numFmtId="0" fontId="30" fillId="0" borderId="4" xfId="0" applyFont="1" applyBorder="1" applyProtection="1">
      <protection hidden="1"/>
    </xf>
    <xf numFmtId="0" fontId="30" fillId="0" borderId="5" xfId="0" applyFont="1" applyBorder="1" applyProtection="1">
      <protection hidden="1"/>
    </xf>
    <xf numFmtId="0" fontId="35" fillId="0" borderId="0" xfId="0" applyFont="1" applyAlignment="1" applyProtection="1">
      <alignment horizontal="right"/>
      <protection hidden="1"/>
    </xf>
    <xf numFmtId="0" fontId="59" fillId="0" borderId="0" xfId="0" applyFont="1" applyAlignment="1" applyProtection="1">
      <alignment vertical="center"/>
      <protection hidden="1"/>
    </xf>
    <xf numFmtId="0" fontId="59" fillId="0" borderId="0" xfId="0" applyFont="1" applyAlignment="1" applyProtection="1">
      <alignment horizontal="left" vertical="center"/>
      <protection hidden="1"/>
    </xf>
    <xf numFmtId="0" fontId="60" fillId="0" borderId="0" xfId="0" applyFont="1" applyAlignment="1" applyProtection="1">
      <alignment vertical="center"/>
      <protection hidden="1"/>
    </xf>
    <xf numFmtId="0" fontId="61" fillId="3" borderId="0" xfId="0" applyFont="1" applyFill="1" applyAlignment="1" applyProtection="1">
      <alignment horizontal="center" vertical="center"/>
      <protection hidden="1"/>
    </xf>
    <xf numFmtId="0" fontId="40" fillId="2" borderId="0" xfId="0" applyFont="1" applyFill="1" applyAlignment="1" applyProtection="1">
      <alignment horizontal="right"/>
      <protection hidden="1"/>
    </xf>
    <xf numFmtId="0" fontId="0" fillId="2" borderId="0" xfId="0" applyFill="1" applyProtection="1">
      <protection hidden="1"/>
    </xf>
    <xf numFmtId="0" fontId="35" fillId="0" borderId="4" xfId="0" applyFont="1" applyBorder="1" applyAlignment="1" applyProtection="1">
      <alignment horizontal="left" vertical="center"/>
      <protection hidden="1"/>
    </xf>
    <xf numFmtId="0" fontId="35" fillId="2" borderId="0" xfId="0" applyFont="1" applyFill="1" applyAlignment="1" applyProtection="1">
      <alignment horizontal="left" vertical="center"/>
      <protection hidden="1"/>
    </xf>
    <xf numFmtId="0" fontId="0" fillId="2" borderId="0" xfId="0" applyFill="1" applyAlignment="1" applyProtection="1">
      <alignment horizontal="center"/>
      <protection hidden="1"/>
    </xf>
    <xf numFmtId="0" fontId="62" fillId="0" borderId="4" xfId="0" applyFont="1" applyBorder="1" applyProtection="1">
      <protection hidden="1"/>
    </xf>
    <xf numFmtId="0" fontId="0" fillId="0" borderId="23" xfId="0" applyBorder="1" applyAlignment="1" applyProtection="1">
      <alignment horizontal="center"/>
      <protection hidden="1"/>
    </xf>
    <xf numFmtId="0" fontId="40" fillId="0" borderId="19" xfId="0" applyFont="1" applyBorder="1" applyAlignment="1" applyProtection="1">
      <alignment horizontal="center"/>
      <protection hidden="1"/>
    </xf>
    <xf numFmtId="0" fontId="0" fillId="0" borderId="19" xfId="0" applyBorder="1" applyAlignment="1" applyProtection="1">
      <alignment horizontal="center"/>
      <protection hidden="1"/>
    </xf>
    <xf numFmtId="0" fontId="0" fillId="0" borderId="24" xfId="0" applyBorder="1" applyAlignment="1" applyProtection="1">
      <alignment horizontal="center"/>
      <protection hidden="1"/>
    </xf>
    <xf numFmtId="0" fontId="0" fillId="0" borderId="0" xfId="0" applyAlignment="1" applyProtection="1">
      <alignment horizontal="center"/>
      <protection hidden="1"/>
    </xf>
    <xf numFmtId="0" fontId="0" fillId="0" borderId="36" xfId="0" applyBorder="1" applyProtection="1">
      <protection hidden="1"/>
    </xf>
    <xf numFmtId="49" fontId="40" fillId="0" borderId="14" xfId="0" applyNumberFormat="1" applyFont="1" applyBorder="1" applyAlignment="1" applyProtection="1">
      <alignment horizontal="right" vertical="center"/>
      <protection hidden="1"/>
    </xf>
    <xf numFmtId="168" fontId="0" fillId="0" borderId="0" xfId="0" applyNumberFormat="1" applyAlignment="1" applyProtection="1">
      <alignment horizontal="right" vertical="center"/>
      <protection hidden="1"/>
    </xf>
    <xf numFmtId="4" fontId="41" fillId="7" borderId="14" xfId="0" applyNumberFormat="1" applyFont="1" applyFill="1" applyBorder="1" applyAlignment="1" applyProtection="1">
      <alignment horizontal="right" vertical="center"/>
      <protection hidden="1"/>
    </xf>
    <xf numFmtId="0" fontId="0" fillId="0" borderId="37" xfId="0" applyBorder="1" applyAlignment="1" applyProtection="1">
      <alignment vertical="center"/>
      <protection hidden="1"/>
    </xf>
    <xf numFmtId="0" fontId="0" fillId="0" borderId="38" xfId="0" applyBorder="1" applyAlignment="1" applyProtection="1">
      <alignment vertical="center"/>
      <protection hidden="1"/>
    </xf>
    <xf numFmtId="168" fontId="40" fillId="0" borderId="0" xfId="0" applyNumberFormat="1" applyFont="1" applyAlignment="1" applyProtection="1">
      <alignment horizontal="right" vertical="center"/>
      <protection hidden="1"/>
    </xf>
    <xf numFmtId="0" fontId="40" fillId="0" borderId="37" xfId="0" applyFont="1" applyBorder="1" applyAlignment="1" applyProtection="1">
      <alignment vertical="center"/>
      <protection hidden="1"/>
    </xf>
    <xf numFmtId="0" fontId="40" fillId="0" borderId="38" xfId="0" applyFont="1" applyBorder="1" applyAlignment="1" applyProtection="1">
      <alignment vertical="center"/>
      <protection hidden="1"/>
    </xf>
    <xf numFmtId="0" fontId="55" fillId="0" borderId="0" xfId="0" applyFont="1" applyAlignment="1" applyProtection="1">
      <alignment vertical="center"/>
      <protection hidden="1"/>
    </xf>
    <xf numFmtId="16" fontId="0" fillId="0" borderId="5" xfId="0" applyNumberFormat="1" applyBorder="1" applyAlignment="1" applyProtection="1">
      <alignment vertical="center"/>
      <protection hidden="1"/>
    </xf>
    <xf numFmtId="49" fontId="0" fillId="0" borderId="0" xfId="0" applyNumberFormat="1" applyAlignment="1" applyProtection="1">
      <alignment vertical="center"/>
      <protection hidden="1"/>
    </xf>
    <xf numFmtId="4" fontId="41" fillId="7" borderId="42" xfId="0" applyNumberFormat="1" applyFont="1" applyFill="1" applyBorder="1" applyAlignment="1" applyProtection="1">
      <alignment horizontal="right" vertical="center"/>
      <protection hidden="1"/>
    </xf>
    <xf numFmtId="0" fontId="0" fillId="0" borderId="43" xfId="0" applyBorder="1" applyAlignment="1" applyProtection="1">
      <alignment vertical="center"/>
      <protection hidden="1"/>
    </xf>
    <xf numFmtId="0" fontId="0" fillId="0" borderId="44" xfId="0" applyBorder="1" applyAlignment="1" applyProtection="1">
      <alignment vertical="center"/>
      <protection hidden="1"/>
    </xf>
    <xf numFmtId="0" fontId="35" fillId="2" borderId="0" xfId="0" applyFont="1" applyFill="1" applyProtection="1">
      <protection hidden="1"/>
    </xf>
    <xf numFmtId="0" fontId="28" fillId="0" borderId="23" xfId="0" applyFont="1" applyBorder="1" applyAlignment="1" applyProtection="1">
      <alignment horizontal="center"/>
      <protection hidden="1"/>
    </xf>
    <xf numFmtId="0" fontId="28" fillId="0" borderId="19" xfId="0" applyFont="1" applyBorder="1" applyAlignment="1" applyProtection="1">
      <alignment horizontal="center"/>
      <protection hidden="1"/>
    </xf>
    <xf numFmtId="0" fontId="28" fillId="0" borderId="24" xfId="0" applyFont="1" applyBorder="1" applyAlignment="1" applyProtection="1">
      <alignment horizontal="center"/>
      <protection hidden="1"/>
    </xf>
    <xf numFmtId="16" fontId="40" fillId="0" borderId="14" xfId="0" quotePrefix="1" applyNumberFormat="1" applyFont="1" applyBorder="1" applyAlignment="1" applyProtection="1">
      <alignment horizontal="right"/>
      <protection hidden="1"/>
    </xf>
    <xf numFmtId="3" fontId="0" fillId="0" borderId="0" xfId="0" applyNumberFormat="1" applyAlignment="1" applyProtection="1">
      <alignment horizontal="right" vertical="center"/>
      <protection hidden="1"/>
    </xf>
    <xf numFmtId="4" fontId="41" fillId="7" borderId="12" xfId="0" applyNumberFormat="1" applyFont="1" applyFill="1" applyBorder="1" applyAlignment="1" applyProtection="1">
      <alignment horizontal="right" vertical="center"/>
      <protection hidden="1"/>
    </xf>
    <xf numFmtId="3" fontId="35" fillId="0" borderId="0" xfId="0" applyNumberFormat="1" applyFont="1" applyAlignment="1" applyProtection="1">
      <alignment horizontal="right" vertical="center"/>
      <protection hidden="1"/>
    </xf>
    <xf numFmtId="0" fontId="28" fillId="2" borderId="0" xfId="0" applyFont="1" applyFill="1" applyProtection="1">
      <protection hidden="1"/>
    </xf>
    <xf numFmtId="2" fontId="28" fillId="0" borderId="0" xfId="0" applyNumberFormat="1" applyFont="1" applyAlignment="1" applyProtection="1">
      <alignment horizontal="center"/>
      <protection hidden="1"/>
    </xf>
    <xf numFmtId="0" fontId="45" fillId="0" borderId="0" xfId="0" quotePrefix="1" applyFont="1" applyAlignment="1" applyProtection="1">
      <alignment horizontal="right"/>
      <protection hidden="1"/>
    </xf>
    <xf numFmtId="0" fontId="33" fillId="0" borderId="0" xfId="0" applyFont="1" applyProtection="1">
      <protection hidden="1"/>
    </xf>
    <xf numFmtId="0" fontId="28" fillId="8" borderId="4" xfId="0" applyFont="1" applyFill="1" applyBorder="1" applyProtection="1">
      <protection hidden="1"/>
    </xf>
    <xf numFmtId="0" fontId="40" fillId="8" borderId="0" xfId="0" applyFont="1" applyFill="1" applyAlignment="1" applyProtection="1">
      <alignment horizontal="left"/>
      <protection hidden="1"/>
    </xf>
    <xf numFmtId="1" fontId="35" fillId="8" borderId="0" xfId="0" applyNumberFormat="1" applyFont="1" applyFill="1" applyProtection="1">
      <protection hidden="1"/>
    </xf>
    <xf numFmtId="0" fontId="28" fillId="8" borderId="5" xfId="0" applyFont="1" applyFill="1" applyBorder="1" applyProtection="1">
      <protection hidden="1"/>
    </xf>
    <xf numFmtId="0" fontId="65" fillId="0" borderId="0" xfId="0" applyFont="1" applyAlignment="1" applyProtection="1">
      <alignment horizontal="left" vertical="center" wrapText="1"/>
      <protection hidden="1"/>
    </xf>
    <xf numFmtId="0" fontId="65" fillId="0" borderId="5" xfId="0" applyFont="1" applyBorder="1" applyAlignment="1" applyProtection="1">
      <alignment horizontal="left" vertical="center" wrapText="1"/>
      <protection hidden="1"/>
    </xf>
    <xf numFmtId="1" fontId="28" fillId="3" borderId="14" xfId="0" applyNumberFormat="1" applyFont="1" applyFill="1" applyBorder="1" applyAlignment="1" applyProtection="1">
      <alignment horizontal="center"/>
      <protection locked="0"/>
    </xf>
    <xf numFmtId="0" fontId="34" fillId="2" borderId="0" xfId="0" applyFont="1" applyFill="1" applyProtection="1">
      <protection hidden="1"/>
    </xf>
    <xf numFmtId="2" fontId="40" fillId="2" borderId="0" xfId="0" applyNumberFormat="1" applyFont="1" applyFill="1" applyProtection="1">
      <protection hidden="1"/>
    </xf>
    <xf numFmtId="0" fontId="28" fillId="2" borderId="0" xfId="0" applyFont="1" applyFill="1" applyAlignment="1" applyProtection="1">
      <alignment horizontal="center"/>
      <protection hidden="1"/>
    </xf>
    <xf numFmtId="0" fontId="46" fillId="0" borderId="0" xfId="0" applyFont="1" applyProtection="1">
      <protection hidden="1"/>
    </xf>
    <xf numFmtId="0" fontId="28" fillId="0" borderId="0" xfId="0" quotePrefix="1" applyFont="1" applyAlignment="1" applyProtection="1">
      <alignment horizontal="left"/>
      <protection hidden="1"/>
    </xf>
    <xf numFmtId="2" fontId="40" fillId="7" borderId="7" xfId="0" applyNumberFormat="1" applyFont="1" applyFill="1" applyBorder="1" applyProtection="1">
      <protection hidden="1"/>
    </xf>
    <xf numFmtId="2" fontId="35" fillId="7" borderId="45" xfId="0" applyNumberFormat="1" applyFont="1" applyFill="1" applyBorder="1" applyProtection="1">
      <protection hidden="1"/>
    </xf>
    <xf numFmtId="2" fontId="39" fillId="0" borderId="0" xfId="0" applyNumberFormat="1" applyFont="1" applyProtection="1">
      <protection hidden="1"/>
    </xf>
    <xf numFmtId="0" fontId="28" fillId="0" borderId="0" xfId="0" applyFont="1" applyAlignment="1" applyProtection="1">
      <alignment vertical="top"/>
      <protection hidden="1"/>
    </xf>
    <xf numFmtId="0" fontId="36" fillId="0" borderId="0" xfId="0" applyFont="1" applyAlignment="1" applyProtection="1">
      <alignment vertical="top"/>
      <protection hidden="1"/>
    </xf>
    <xf numFmtId="0" fontId="55" fillId="0" borderId="0" xfId="0" applyFont="1" applyProtection="1">
      <protection hidden="1"/>
    </xf>
    <xf numFmtId="49" fontId="40" fillId="0" borderId="0" xfId="0" applyNumberFormat="1" applyFont="1" applyProtection="1">
      <protection hidden="1"/>
    </xf>
    <xf numFmtId="49" fontId="40" fillId="0" borderId="0" xfId="0" applyNumberFormat="1" applyFont="1" applyAlignment="1" applyProtection="1">
      <alignment horizontal="center"/>
      <protection hidden="1"/>
    </xf>
    <xf numFmtId="1" fontId="28" fillId="0" borderId="0" xfId="0" applyNumberFormat="1" applyFont="1" applyAlignment="1" applyProtection="1">
      <alignment horizontal="left"/>
      <protection hidden="1"/>
    </xf>
    <xf numFmtId="1" fontId="35" fillId="0" borderId="0" xfId="0" applyNumberFormat="1" applyFont="1" applyProtection="1">
      <protection hidden="1"/>
    </xf>
    <xf numFmtId="0" fontId="35" fillId="0" borderId="0" xfId="0" applyFont="1" applyAlignment="1" applyProtection="1">
      <alignment horizontal="left"/>
      <protection hidden="1"/>
    </xf>
    <xf numFmtId="0" fontId="40" fillId="0" borderId="1" xfId="0" applyFont="1" applyBorder="1" applyProtection="1">
      <protection hidden="1"/>
    </xf>
    <xf numFmtId="0" fontId="40" fillId="0" borderId="2" xfId="0" applyFont="1" applyBorder="1" applyProtection="1">
      <protection hidden="1"/>
    </xf>
    <xf numFmtId="1" fontId="28" fillId="0" borderId="18" xfId="0" applyNumberFormat="1" applyFont="1" applyBorder="1" applyAlignment="1" applyProtection="1">
      <alignment horizontal="left"/>
      <protection hidden="1"/>
    </xf>
    <xf numFmtId="0" fontId="28" fillId="0" borderId="13" xfId="0" applyFont="1" applyBorder="1" applyProtection="1">
      <protection hidden="1"/>
    </xf>
    <xf numFmtId="2" fontId="28" fillId="3" borderId="14" xfId="0" applyNumberFormat="1" applyFont="1" applyFill="1" applyBorder="1" applyAlignment="1" applyProtection="1">
      <alignment horizontal="center"/>
      <protection locked="0"/>
    </xf>
    <xf numFmtId="171" fontId="45" fillId="7" borderId="14" xfId="0" applyNumberFormat="1" applyFont="1" applyFill="1" applyBorder="1" applyAlignment="1" applyProtection="1">
      <alignment horizontal="center"/>
      <protection hidden="1"/>
    </xf>
    <xf numFmtId="0" fontId="40" fillId="0" borderId="6" xfId="0" applyFont="1" applyBorder="1" applyProtection="1">
      <protection hidden="1"/>
    </xf>
    <xf numFmtId="49" fontId="40" fillId="0" borderId="7" xfId="0" applyNumberFormat="1" applyFont="1" applyBorder="1" applyProtection="1">
      <protection hidden="1"/>
    </xf>
    <xf numFmtId="49" fontId="40" fillId="0" borderId="7" xfId="0" applyNumberFormat="1" applyFont="1" applyBorder="1" applyAlignment="1" applyProtection="1">
      <alignment horizontal="center"/>
      <protection hidden="1"/>
    </xf>
    <xf numFmtId="0" fontId="40" fillId="0" borderId="7" xfId="0" applyFont="1" applyBorder="1" applyProtection="1">
      <protection hidden="1"/>
    </xf>
    <xf numFmtId="0" fontId="40" fillId="0" borderId="12" xfId="0" applyFont="1" applyBorder="1" applyProtection="1">
      <protection hidden="1"/>
    </xf>
    <xf numFmtId="0" fontId="40" fillId="0" borderId="18" xfId="0" applyFont="1" applyBorder="1" applyProtection="1">
      <protection hidden="1"/>
    </xf>
    <xf numFmtId="0" fontId="40" fillId="0" borderId="18" xfId="0" applyFont="1" applyBorder="1" applyAlignment="1" applyProtection="1">
      <alignment vertical="top"/>
      <protection hidden="1"/>
    </xf>
    <xf numFmtId="1" fontId="35" fillId="0" borderId="13" xfId="0" applyNumberFormat="1" applyFont="1" applyBorder="1" applyAlignment="1" applyProtection="1">
      <alignment vertical="top"/>
      <protection hidden="1"/>
    </xf>
    <xf numFmtId="2" fontId="45" fillId="7" borderId="14" xfId="0" applyNumberFormat="1" applyFont="1" applyFill="1" applyBorder="1" applyAlignment="1" applyProtection="1">
      <alignment horizontal="center"/>
      <protection hidden="1"/>
    </xf>
    <xf numFmtId="0" fontId="28" fillId="0" borderId="18" xfId="0" applyFont="1" applyBorder="1" applyProtection="1">
      <protection hidden="1"/>
    </xf>
    <xf numFmtId="1" fontId="40" fillId="0" borderId="13" xfId="0" applyNumberFormat="1" applyFont="1" applyBorder="1" applyAlignment="1" applyProtection="1">
      <alignment horizontal="right"/>
      <protection hidden="1"/>
    </xf>
    <xf numFmtId="1" fontId="45" fillId="7" borderId="14" xfId="0" applyNumberFormat="1" applyFont="1" applyFill="1" applyBorder="1" applyAlignment="1" applyProtection="1">
      <alignment horizontal="center"/>
      <protection hidden="1"/>
    </xf>
    <xf numFmtId="0" fontId="40" fillId="0" borderId="12" xfId="0" applyFont="1" applyBorder="1" applyAlignment="1" applyProtection="1">
      <alignment horizontal="left"/>
      <protection hidden="1"/>
    </xf>
    <xf numFmtId="0" fontId="40" fillId="0" borderId="18" xfId="0" applyFont="1" applyBorder="1" applyAlignment="1" applyProtection="1">
      <alignment horizontal="left"/>
      <protection hidden="1"/>
    </xf>
    <xf numFmtId="0" fontId="40" fillId="0" borderId="13" xfId="0" applyFont="1" applyBorder="1" applyAlignment="1" applyProtection="1">
      <alignment horizontal="left"/>
      <protection hidden="1"/>
    </xf>
    <xf numFmtId="2" fontId="28" fillId="7" borderId="14" xfId="0" applyNumberFormat="1" applyFont="1" applyFill="1" applyBorder="1" applyAlignment="1" applyProtection="1">
      <alignment horizontal="center"/>
      <protection hidden="1"/>
    </xf>
    <xf numFmtId="0" fontId="40" fillId="0" borderId="0" xfId="0" applyFont="1" applyAlignment="1" applyProtection="1">
      <alignment horizontal="left"/>
      <protection hidden="1"/>
    </xf>
    <xf numFmtId="0" fontId="28" fillId="0" borderId="0" xfId="0" applyFont="1" applyAlignment="1" applyProtection="1">
      <alignment horizontal="left"/>
      <protection hidden="1"/>
    </xf>
    <xf numFmtId="0" fontId="35" fillId="0" borderId="0" xfId="0" applyFont="1" applyAlignment="1" applyProtection="1">
      <alignment vertical="top"/>
      <protection hidden="1"/>
    </xf>
    <xf numFmtId="1" fontId="28" fillId="0" borderId="0" xfId="0" applyNumberFormat="1" applyFont="1" applyProtection="1">
      <protection hidden="1"/>
    </xf>
    <xf numFmtId="0" fontId="28" fillId="0" borderId="12" xfId="0" applyFont="1" applyBorder="1" applyProtection="1">
      <protection hidden="1"/>
    </xf>
    <xf numFmtId="0" fontId="28" fillId="0" borderId="1" xfId="0" applyFont="1" applyBorder="1" applyProtection="1">
      <protection hidden="1"/>
    </xf>
    <xf numFmtId="0" fontId="28" fillId="0" borderId="2" xfId="0" applyFont="1" applyBorder="1" applyProtection="1">
      <protection hidden="1"/>
    </xf>
    <xf numFmtId="0" fontId="28" fillId="0" borderId="3" xfId="0" applyFont="1" applyBorder="1" applyProtection="1">
      <protection hidden="1"/>
    </xf>
    <xf numFmtId="14" fontId="40" fillId="0" borderId="0" xfId="0" applyNumberFormat="1" applyFont="1" applyProtection="1">
      <protection hidden="1"/>
    </xf>
    <xf numFmtId="0" fontId="69" fillId="0" borderId="0" xfId="0" applyFont="1" applyProtection="1">
      <protection hidden="1"/>
    </xf>
    <xf numFmtId="0" fontId="47" fillId="0" borderId="0" xfId="0" applyFont="1" applyAlignment="1" applyProtection="1">
      <alignment horizontal="left"/>
      <protection hidden="1"/>
    </xf>
    <xf numFmtId="0" fontId="40" fillId="9" borderId="0" xfId="0" applyFont="1" applyFill="1" applyAlignment="1" applyProtection="1">
      <alignment horizontal="left"/>
      <protection hidden="1"/>
    </xf>
    <xf numFmtId="3" fontId="35" fillId="7" borderId="14" xfId="0" applyNumberFormat="1" applyFont="1" applyFill="1" applyBorder="1" applyAlignment="1" applyProtection="1">
      <alignment horizontal="center"/>
      <protection hidden="1"/>
    </xf>
    <xf numFmtId="0" fontId="28" fillId="9" borderId="0" xfId="0" applyFont="1" applyFill="1" applyProtection="1">
      <protection hidden="1"/>
    </xf>
    <xf numFmtId="0" fontId="34" fillId="7" borderId="14" xfId="0" applyFont="1" applyFill="1" applyBorder="1" applyAlignment="1" applyProtection="1">
      <alignment horizontal="center"/>
      <protection hidden="1"/>
    </xf>
    <xf numFmtId="4" fontId="34" fillId="7" borderId="14" xfId="0" applyNumberFormat="1" applyFont="1" applyFill="1" applyBorder="1" applyAlignment="1" applyProtection="1">
      <alignment horizontal="center"/>
      <protection hidden="1"/>
    </xf>
    <xf numFmtId="0" fontId="35" fillId="0" borderId="0" xfId="0" applyFont="1" applyAlignment="1" applyProtection="1">
      <alignment horizontal="right" indent="1"/>
      <protection hidden="1"/>
    </xf>
    <xf numFmtId="0" fontId="40" fillId="9" borderId="0" xfId="0" applyFont="1" applyFill="1" applyAlignment="1" applyProtection="1">
      <alignment horizontal="right"/>
      <protection hidden="1"/>
    </xf>
    <xf numFmtId="0" fontId="0" fillId="9" borderId="0" xfId="0" applyFill="1" applyProtection="1">
      <protection hidden="1"/>
    </xf>
    <xf numFmtId="1" fontId="45" fillId="9" borderId="0" xfId="0" applyNumberFormat="1" applyFont="1" applyFill="1" applyAlignment="1" applyProtection="1">
      <alignment horizontal="center"/>
      <protection hidden="1"/>
    </xf>
    <xf numFmtId="1" fontId="28" fillId="7" borderId="14" xfId="0" applyNumberFormat="1" applyFont="1" applyFill="1" applyBorder="1" applyAlignment="1" applyProtection="1">
      <alignment horizontal="right" indent="1"/>
      <protection hidden="1"/>
    </xf>
    <xf numFmtId="3" fontId="45" fillId="9" borderId="0" xfId="0" applyNumberFormat="1" applyFont="1" applyFill="1" applyAlignment="1" applyProtection="1">
      <alignment horizontal="center"/>
      <protection hidden="1"/>
    </xf>
    <xf numFmtId="4" fontId="28" fillId="7" borderId="14" xfId="0" applyNumberFormat="1" applyFont="1" applyFill="1" applyBorder="1" applyProtection="1">
      <protection hidden="1"/>
    </xf>
    <xf numFmtId="4" fontId="28" fillId="2" borderId="46" xfId="0" applyNumberFormat="1" applyFont="1" applyFill="1" applyBorder="1" applyProtection="1">
      <protection hidden="1"/>
    </xf>
    <xf numFmtId="165" fontId="28" fillId="2" borderId="14" xfId="0" applyNumberFormat="1" applyFont="1" applyFill="1" applyBorder="1" applyProtection="1">
      <protection hidden="1"/>
    </xf>
    <xf numFmtId="3" fontId="0" fillId="9" borderId="0" xfId="0" applyNumberFormat="1" applyFill="1" applyAlignment="1" applyProtection="1">
      <alignment horizontal="center"/>
      <protection hidden="1"/>
    </xf>
    <xf numFmtId="0" fontId="0" fillId="2" borderId="18" xfId="0" applyFill="1" applyBorder="1" applyProtection="1">
      <protection hidden="1"/>
    </xf>
    <xf numFmtId="0" fontId="28" fillId="2" borderId="18" xfId="0" applyFont="1" applyFill="1" applyBorder="1" applyAlignment="1" applyProtection="1">
      <alignment horizontal="right"/>
      <protection hidden="1"/>
    </xf>
    <xf numFmtId="0" fontId="45" fillId="9" borderId="18" xfId="0" applyFont="1" applyFill="1" applyBorder="1" applyAlignment="1" applyProtection="1">
      <alignment horizontal="right"/>
      <protection hidden="1"/>
    </xf>
    <xf numFmtId="0" fontId="28" fillId="2" borderId="12" xfId="0" applyFont="1" applyFill="1" applyBorder="1" applyAlignment="1" applyProtection="1">
      <alignment horizontal="right"/>
      <protection hidden="1"/>
    </xf>
    <xf numFmtId="0" fontId="35" fillId="0" borderId="18" xfId="0" applyFont="1" applyBorder="1" applyAlignment="1" applyProtection="1">
      <alignment horizontal="left"/>
      <protection hidden="1"/>
    </xf>
    <xf numFmtId="172" fontId="45" fillId="9" borderId="18" xfId="0" applyNumberFormat="1" applyFont="1" applyFill="1" applyBorder="1" applyProtection="1">
      <protection hidden="1"/>
    </xf>
    <xf numFmtId="172" fontId="35" fillId="7" borderId="13" xfId="0" applyNumberFormat="1" applyFont="1" applyFill="1" applyBorder="1" applyProtection="1">
      <protection hidden="1"/>
    </xf>
    <xf numFmtId="172" fontId="34" fillId="7" borderId="13" xfId="0" applyNumberFormat="1" applyFont="1" applyFill="1" applyBorder="1" applyProtection="1">
      <protection hidden="1"/>
    </xf>
    <xf numFmtId="172" fontId="0" fillId="0" borderId="0" xfId="0" applyNumberFormat="1" applyProtection="1">
      <protection hidden="1"/>
    </xf>
    <xf numFmtId="16" fontId="28" fillId="7" borderId="18" xfId="0" quotePrefix="1" applyNumberFormat="1" applyFont="1" applyFill="1" applyBorder="1" applyAlignment="1" applyProtection="1">
      <alignment horizontal="left"/>
      <protection hidden="1"/>
    </xf>
    <xf numFmtId="172" fontId="28" fillId="7" borderId="13" xfId="0" applyNumberFormat="1" applyFont="1" applyFill="1" applyBorder="1" applyProtection="1">
      <protection hidden="1"/>
    </xf>
    <xf numFmtId="172" fontId="0" fillId="0" borderId="2" xfId="0" applyNumberFormat="1" applyBorder="1" applyProtection="1">
      <protection hidden="1"/>
    </xf>
    <xf numFmtId="16" fontId="28" fillId="0" borderId="18" xfId="0" applyNumberFormat="1" applyFont="1" applyBorder="1" applyProtection="1">
      <protection hidden="1"/>
    </xf>
    <xf numFmtId="0" fontId="0" fillId="0" borderId="0" xfId="0" applyAlignment="1" applyProtection="1">
      <alignment horizontal="left"/>
      <protection hidden="1"/>
    </xf>
    <xf numFmtId="172" fontId="0" fillId="9" borderId="0" xfId="0" applyNumberFormat="1" applyFill="1" applyAlignment="1" applyProtection="1">
      <alignment horizontal="left"/>
      <protection hidden="1"/>
    </xf>
    <xf numFmtId="172" fontId="28" fillId="0" borderId="0" xfId="0" applyNumberFormat="1" applyFont="1" applyProtection="1">
      <protection hidden="1"/>
    </xf>
    <xf numFmtId="49" fontId="28" fillId="7" borderId="18" xfId="0" applyNumberFormat="1" applyFont="1" applyFill="1" applyBorder="1" applyProtection="1">
      <protection hidden="1"/>
    </xf>
    <xf numFmtId="0" fontId="28" fillId="7" borderId="18" xfId="0" applyFont="1" applyFill="1" applyBorder="1" applyAlignment="1" applyProtection="1">
      <alignment horizontal="left"/>
      <protection hidden="1"/>
    </xf>
    <xf numFmtId="172" fontId="28" fillId="9" borderId="18" xfId="0" applyNumberFormat="1" applyFont="1" applyFill="1" applyBorder="1" applyProtection="1">
      <protection hidden="1"/>
    </xf>
    <xf numFmtId="172" fontId="28" fillId="0" borderId="18" xfId="0" applyNumberFormat="1" applyFont="1" applyBorder="1" applyProtection="1">
      <protection hidden="1"/>
    </xf>
    <xf numFmtId="172" fontId="28" fillId="0" borderId="13" xfId="0" applyNumberFormat="1" applyFont="1" applyBorder="1" applyProtection="1">
      <protection hidden="1"/>
    </xf>
    <xf numFmtId="172" fontId="28" fillId="7" borderId="8" xfId="0" applyNumberFormat="1" applyFont="1" applyFill="1" applyBorder="1" applyProtection="1">
      <protection hidden="1"/>
    </xf>
    <xf numFmtId="172" fontId="0" fillId="0" borderId="18" xfId="0" applyNumberFormat="1" applyBorder="1" applyProtection="1">
      <protection hidden="1"/>
    </xf>
    <xf numFmtId="0" fontId="40" fillId="7" borderId="18" xfId="0" applyFont="1" applyFill="1" applyBorder="1" applyAlignment="1" applyProtection="1">
      <alignment horizontal="left" vertical="center"/>
      <protection hidden="1"/>
    </xf>
    <xf numFmtId="0" fontId="70" fillId="7" borderId="18" xfId="0" applyFont="1" applyFill="1" applyBorder="1" applyAlignment="1" applyProtection="1">
      <alignment horizontal="left"/>
      <protection hidden="1"/>
    </xf>
    <xf numFmtId="0" fontId="35" fillId="7" borderId="18" xfId="0" applyFont="1" applyFill="1" applyBorder="1" applyAlignment="1" applyProtection="1">
      <alignment horizontal="left"/>
      <protection hidden="1"/>
    </xf>
    <xf numFmtId="0" fontId="35" fillId="0" borderId="18" xfId="0" applyFont="1" applyBorder="1" applyProtection="1">
      <protection hidden="1"/>
    </xf>
    <xf numFmtId="16" fontId="28" fillId="7" borderId="18" xfId="0" applyNumberFormat="1" applyFont="1" applyFill="1" applyBorder="1" applyProtection="1">
      <protection hidden="1"/>
    </xf>
    <xf numFmtId="16" fontId="28" fillId="7" borderId="18" xfId="0" quotePrefix="1" applyNumberFormat="1" applyFont="1" applyFill="1" applyBorder="1" applyProtection="1">
      <protection hidden="1"/>
    </xf>
    <xf numFmtId="0" fontId="56" fillId="0" borderId="5" xfId="0" applyFont="1" applyBorder="1" applyAlignment="1" applyProtection="1">
      <alignment horizontal="right" indent="1"/>
      <protection hidden="1"/>
    </xf>
    <xf numFmtId="172" fontId="35" fillId="0" borderId="0" xfId="0" applyNumberFormat="1" applyFont="1" applyProtection="1">
      <protection hidden="1"/>
    </xf>
    <xf numFmtId="172" fontId="0" fillId="9" borderId="0" xfId="0" applyNumberFormat="1" applyFill="1" applyProtection="1">
      <protection hidden="1"/>
    </xf>
    <xf numFmtId="172" fontId="0" fillId="0" borderId="0" xfId="0" applyNumberFormat="1" applyAlignment="1" applyProtection="1">
      <alignment horizontal="right" indent="1"/>
      <protection hidden="1"/>
    </xf>
    <xf numFmtId="172" fontId="35" fillId="0" borderId="0" xfId="0" applyNumberFormat="1" applyFont="1" applyAlignment="1" applyProtection="1">
      <alignment horizontal="right" indent="1"/>
      <protection hidden="1"/>
    </xf>
    <xf numFmtId="0" fontId="39" fillId="2" borderId="18" xfId="0" applyFont="1" applyFill="1" applyBorder="1" applyAlignment="1" applyProtection="1">
      <alignment horizontal="left"/>
      <protection hidden="1"/>
    </xf>
    <xf numFmtId="172" fontId="40" fillId="7" borderId="13" xfId="0" applyNumberFormat="1" applyFont="1" applyFill="1" applyBorder="1" applyProtection="1">
      <protection hidden="1"/>
    </xf>
    <xf numFmtId="172" fontId="34" fillId="0" borderId="0" xfId="0" applyNumberFormat="1" applyFont="1" applyAlignment="1" applyProtection="1">
      <alignment horizontal="right"/>
      <protection hidden="1"/>
    </xf>
    <xf numFmtId="0" fontId="39" fillId="0" borderId="0" xfId="0" applyFont="1" applyAlignment="1" applyProtection="1">
      <alignment horizontal="right"/>
      <protection hidden="1"/>
    </xf>
    <xf numFmtId="4" fontId="39" fillId="0" borderId="0" xfId="0" applyNumberFormat="1" applyFont="1" applyAlignment="1" applyProtection="1">
      <alignment horizontal="right"/>
      <protection hidden="1"/>
    </xf>
    <xf numFmtId="0" fontId="28" fillId="9" borderId="0" xfId="0" applyFont="1" applyFill="1" applyAlignment="1" applyProtection="1">
      <alignment horizontal="right"/>
      <protection hidden="1"/>
    </xf>
    <xf numFmtId="165" fontId="35" fillId="7" borderId="15" xfId="0" applyNumberFormat="1" applyFont="1" applyFill="1" applyBorder="1" applyAlignment="1" applyProtection="1">
      <alignment horizontal="right" indent="1"/>
      <protection hidden="1"/>
    </xf>
    <xf numFmtId="0" fontId="39" fillId="9" borderId="0" xfId="0" applyFont="1" applyFill="1" applyAlignment="1" applyProtection="1">
      <alignment horizontal="right"/>
      <protection hidden="1"/>
    </xf>
    <xf numFmtId="0" fontId="41" fillId="0" borderId="0" xfId="0" applyFont="1" applyAlignment="1" applyProtection="1">
      <alignment horizontal="left"/>
      <protection hidden="1"/>
    </xf>
    <xf numFmtId="0" fontId="34" fillId="0" borderId="18" xfId="0" applyFont="1" applyBorder="1" applyProtection="1">
      <protection hidden="1"/>
    </xf>
    <xf numFmtId="0" fontId="50" fillId="0" borderId="0" xfId="0" applyFont="1"/>
    <xf numFmtId="0" fontId="31" fillId="0" borderId="0" xfId="0" applyFont="1"/>
    <xf numFmtId="0" fontId="72" fillId="0" borderId="0" xfId="0" applyFont="1"/>
    <xf numFmtId="0" fontId="0" fillId="7" borderId="0" xfId="0" applyFill="1"/>
    <xf numFmtId="0" fontId="0" fillId="7" borderId="0" xfId="0" applyFill="1" applyAlignment="1">
      <alignment horizontal="center"/>
    </xf>
    <xf numFmtId="9" fontId="50" fillId="7" borderId="0" xfId="0" applyNumberFormat="1" applyFont="1" applyFill="1"/>
    <xf numFmtId="0" fontId="34" fillId="3" borderId="15" xfId="0" applyFont="1" applyFill="1" applyBorder="1" applyAlignment="1" applyProtection="1">
      <alignment horizontal="center"/>
      <protection locked="0"/>
    </xf>
    <xf numFmtId="14" fontId="28" fillId="3" borderId="15" xfId="0" applyNumberFormat="1" applyFont="1" applyFill="1" applyBorder="1" applyAlignment="1" applyProtection="1">
      <alignment horizontal="center" vertical="center"/>
      <protection locked="0"/>
    </xf>
    <xf numFmtId="14" fontId="40" fillId="3" borderId="15" xfId="0" applyNumberFormat="1" applyFont="1" applyFill="1" applyBorder="1" applyAlignment="1" applyProtection="1">
      <alignment horizontal="center" vertical="center"/>
      <protection locked="0"/>
    </xf>
    <xf numFmtId="14" fontId="28" fillId="0" borderId="0" xfId="0" applyNumberFormat="1" applyFont="1" applyAlignment="1">
      <alignment horizontal="center" vertical="top"/>
    </xf>
    <xf numFmtId="14" fontId="28" fillId="0" borderId="0" xfId="0" applyNumberFormat="1" applyFont="1" applyAlignment="1">
      <alignment horizontal="right" vertical="top"/>
    </xf>
    <xf numFmtId="173" fontId="35" fillId="3" borderId="14" xfId="0" applyNumberFormat="1" applyFont="1" applyFill="1" applyBorder="1" applyAlignment="1" applyProtection="1">
      <alignment horizontal="center" vertical="center"/>
      <protection locked="0"/>
    </xf>
    <xf numFmtId="0" fontId="41" fillId="2" borderId="0" xfId="0" applyFont="1" applyFill="1" applyAlignment="1" applyProtection="1">
      <alignment vertical="top"/>
      <protection hidden="1"/>
    </xf>
    <xf numFmtId="0" fontId="0" fillId="2" borderId="0" xfId="0" applyFill="1"/>
    <xf numFmtId="0" fontId="34" fillId="2" borderId="0" xfId="0" applyFont="1" applyFill="1" applyAlignment="1" applyProtection="1">
      <alignment vertical="center"/>
      <protection hidden="1"/>
    </xf>
    <xf numFmtId="0" fontId="28" fillId="2" borderId="24" xfId="0" applyFont="1" applyFill="1" applyBorder="1" applyAlignment="1" applyProtection="1">
      <alignment horizontal="center" vertical="top"/>
      <protection hidden="1"/>
    </xf>
    <xf numFmtId="0" fontId="28" fillId="2" borderId="24" xfId="0" applyFont="1" applyFill="1" applyBorder="1" applyAlignment="1" applyProtection="1">
      <alignment horizontal="center" vertical="top" wrapText="1"/>
      <protection hidden="1"/>
    </xf>
    <xf numFmtId="0" fontId="34" fillId="2" borderId="23" xfId="0" applyFont="1" applyFill="1" applyBorder="1" applyAlignment="1" applyProtection="1">
      <alignment horizontal="center"/>
      <protection hidden="1"/>
    </xf>
    <xf numFmtId="0" fontId="34" fillId="0" borderId="0" xfId="0" applyFont="1" applyAlignment="1" applyProtection="1">
      <alignment horizontal="center"/>
      <protection hidden="1"/>
    </xf>
    <xf numFmtId="0" fontId="41" fillId="0" borderId="8" xfId="0" applyFont="1" applyBorder="1" applyAlignment="1">
      <alignment horizontal="center"/>
    </xf>
    <xf numFmtId="0" fontId="40" fillId="0" borderId="5" xfId="0" applyFont="1" applyBorder="1" applyAlignment="1">
      <alignment horizontal="center"/>
    </xf>
    <xf numFmtId="1" fontId="28" fillId="2" borderId="32" xfId="0" applyNumberFormat="1" applyFont="1" applyFill="1" applyBorder="1" applyAlignment="1" applyProtection="1">
      <alignment horizontal="center"/>
      <protection hidden="1"/>
    </xf>
    <xf numFmtId="1" fontId="48" fillId="2" borderId="33" xfId="0" applyNumberFormat="1" applyFont="1" applyFill="1" applyBorder="1" applyAlignment="1" applyProtection="1">
      <alignment horizontal="center"/>
      <protection hidden="1"/>
    </xf>
    <xf numFmtId="0" fontId="28" fillId="3" borderId="20" xfId="0" applyFont="1" applyFill="1" applyBorder="1" applyAlignment="1" applyProtection="1">
      <alignment horizontal="center"/>
      <protection locked="0"/>
    </xf>
    <xf numFmtId="0" fontId="28" fillId="0" borderId="47" xfId="0" applyFont="1" applyBorder="1" applyProtection="1">
      <protection hidden="1"/>
    </xf>
    <xf numFmtId="0" fontId="28" fillId="2" borderId="12" xfId="0" applyFont="1" applyFill="1" applyBorder="1" applyAlignment="1" applyProtection="1">
      <alignment horizontal="center" wrapText="1"/>
      <protection hidden="1"/>
    </xf>
    <xf numFmtId="172" fontId="56" fillId="0" borderId="0" xfId="0" applyNumberFormat="1" applyFont="1" applyAlignment="1">
      <alignment vertical="top" wrapText="1"/>
    </xf>
    <xf numFmtId="172" fontId="56" fillId="0" borderId="0" xfId="0" applyNumberFormat="1" applyFont="1"/>
    <xf numFmtId="168" fontId="40" fillId="0" borderId="0" xfId="0" applyNumberFormat="1" applyFont="1" applyAlignment="1" applyProtection="1">
      <alignment horizontal="right"/>
      <protection hidden="1"/>
    </xf>
    <xf numFmtId="0" fontId="34" fillId="0" borderId="0" xfId="0" applyFont="1"/>
    <xf numFmtId="3" fontId="28" fillId="7" borderId="23" xfId="0" applyNumberFormat="1" applyFont="1" applyFill="1" applyBorder="1" applyAlignment="1" applyProtection="1">
      <alignment horizontal="center"/>
      <protection hidden="1"/>
    </xf>
    <xf numFmtId="4" fontId="45" fillId="9" borderId="0" xfId="0" applyNumberFormat="1" applyFont="1" applyFill="1" applyAlignment="1" applyProtection="1">
      <alignment horizontal="center"/>
      <protection hidden="1"/>
    </xf>
    <xf numFmtId="173" fontId="34" fillId="7" borderId="14" xfId="0" applyNumberFormat="1" applyFont="1" applyFill="1" applyBorder="1" applyAlignment="1" applyProtection="1">
      <alignment horizontal="center"/>
      <protection hidden="1"/>
    </xf>
    <xf numFmtId="1" fontId="40" fillId="7" borderId="14" xfId="0" applyNumberFormat="1" applyFont="1" applyFill="1" applyBorder="1" applyAlignment="1" applyProtection="1">
      <alignment horizontal="right" indent="1"/>
      <protection hidden="1"/>
    </xf>
    <xf numFmtId="172" fontId="33" fillId="0" borderId="0" xfId="0" applyNumberFormat="1" applyFont="1" applyAlignment="1" applyProtection="1">
      <alignment horizontal="left"/>
      <protection hidden="1"/>
    </xf>
    <xf numFmtId="0" fontId="55" fillId="9" borderId="0" xfId="0" applyFont="1" applyFill="1" applyProtection="1">
      <protection hidden="1"/>
    </xf>
    <xf numFmtId="172" fontId="35" fillId="9" borderId="12" xfId="0" applyNumberFormat="1" applyFont="1" applyFill="1" applyBorder="1" applyProtection="1">
      <protection hidden="1"/>
    </xf>
    <xf numFmtId="172" fontId="40" fillId="9" borderId="12" xfId="0" applyNumberFormat="1" applyFont="1" applyFill="1" applyBorder="1" applyProtection="1">
      <protection hidden="1"/>
    </xf>
    <xf numFmtId="172" fontId="28" fillId="9" borderId="12" xfId="0" applyNumberFormat="1" applyFont="1" applyFill="1" applyBorder="1" applyProtection="1">
      <protection hidden="1"/>
    </xf>
    <xf numFmtId="172" fontId="28" fillId="9" borderId="0" xfId="0" applyNumberFormat="1" applyFont="1" applyFill="1" applyProtection="1">
      <protection hidden="1"/>
    </xf>
    <xf numFmtId="172" fontId="28" fillId="9" borderId="12" xfId="0" quotePrefix="1" applyNumberFormat="1" applyFont="1" applyFill="1" applyBorder="1" applyProtection="1">
      <protection hidden="1"/>
    </xf>
    <xf numFmtId="172" fontId="0" fillId="9" borderId="0" xfId="0" applyNumberFormat="1" applyFill="1" applyAlignment="1" applyProtection="1">
      <alignment horizontal="right" indent="1"/>
      <protection hidden="1"/>
    </xf>
    <xf numFmtId="172" fontId="40" fillId="9" borderId="12" xfId="0" applyNumberFormat="1" applyFont="1" applyFill="1" applyBorder="1" applyAlignment="1" applyProtection="1">
      <alignment horizontal="right" indent="1"/>
      <protection hidden="1"/>
    </xf>
    <xf numFmtId="0" fontId="35" fillId="9" borderId="0" xfId="0" applyFont="1" applyFill="1" applyAlignment="1" applyProtection="1">
      <alignment horizontal="right"/>
      <protection hidden="1"/>
    </xf>
    <xf numFmtId="172" fontId="35" fillId="9" borderId="18" xfId="0" applyNumberFormat="1" applyFont="1" applyFill="1" applyBorder="1" applyProtection="1">
      <protection hidden="1"/>
    </xf>
    <xf numFmtId="172" fontId="35" fillId="9" borderId="0" xfId="0" applyNumberFormat="1" applyFont="1" applyFill="1" applyAlignment="1" applyProtection="1">
      <alignment horizontal="right" indent="1"/>
      <protection hidden="1"/>
    </xf>
    <xf numFmtId="172" fontId="40" fillId="9" borderId="18" xfId="0" applyNumberFormat="1" applyFont="1" applyFill="1" applyBorder="1" applyProtection="1">
      <protection hidden="1"/>
    </xf>
    <xf numFmtId="172" fontId="34" fillId="9" borderId="12" xfId="0" applyNumberFormat="1" applyFont="1" applyFill="1" applyBorder="1" applyProtection="1">
      <protection hidden="1"/>
    </xf>
    <xf numFmtId="172" fontId="28" fillId="9" borderId="0" xfId="0" applyNumberFormat="1" applyFont="1" applyFill="1" applyAlignment="1" applyProtection="1">
      <alignment horizontal="right" indent="1"/>
      <protection hidden="1"/>
    </xf>
    <xf numFmtId="0" fontId="35" fillId="9" borderId="0" xfId="0" applyFont="1" applyFill="1" applyAlignment="1" applyProtection="1">
      <alignment horizontal="right" indent="1"/>
      <protection hidden="1"/>
    </xf>
    <xf numFmtId="172" fontId="28" fillId="9" borderId="1" xfId="0" quotePrefix="1" applyNumberFormat="1" applyFont="1" applyFill="1" applyBorder="1" applyProtection="1">
      <protection hidden="1"/>
    </xf>
    <xf numFmtId="172" fontId="28" fillId="9" borderId="6" xfId="0" quotePrefix="1" applyNumberFormat="1" applyFont="1" applyFill="1" applyBorder="1" applyProtection="1">
      <protection hidden="1"/>
    </xf>
    <xf numFmtId="172" fontId="39" fillId="9" borderId="0" xfId="0" applyNumberFormat="1" applyFont="1" applyFill="1" applyAlignment="1" applyProtection="1">
      <alignment horizontal="left"/>
      <protection hidden="1"/>
    </xf>
    <xf numFmtId="172" fontId="0" fillId="9" borderId="2" xfId="0" applyNumberFormat="1" applyFill="1" applyBorder="1" applyProtection="1">
      <protection hidden="1"/>
    </xf>
    <xf numFmtId="172" fontId="0" fillId="9" borderId="4" xfId="0" applyNumberFormat="1" applyFill="1" applyBorder="1" applyProtection="1">
      <protection hidden="1"/>
    </xf>
    <xf numFmtId="172" fontId="41" fillId="9" borderId="4" xfId="0" applyNumberFormat="1" applyFont="1" applyFill="1" applyBorder="1" applyAlignment="1">
      <alignment vertical="top" wrapText="1"/>
    </xf>
    <xf numFmtId="172" fontId="56" fillId="9" borderId="4" xfId="0" applyNumberFormat="1" applyFont="1" applyFill="1" applyBorder="1" applyAlignment="1">
      <alignment vertical="top" wrapText="1"/>
    </xf>
    <xf numFmtId="172" fontId="56" fillId="9" borderId="4" xfId="0" applyNumberFormat="1" applyFont="1" applyFill="1" applyBorder="1"/>
    <xf numFmtId="172" fontId="28" fillId="9" borderId="0" xfId="0" applyNumberFormat="1" applyFont="1" applyFill="1" applyAlignment="1" applyProtection="1">
      <alignment horizontal="right"/>
      <protection hidden="1"/>
    </xf>
    <xf numFmtId="0" fontId="34" fillId="9" borderId="0" xfId="0" applyFont="1" applyFill="1" applyAlignment="1" applyProtection="1">
      <alignment horizontal="right"/>
      <protection hidden="1"/>
    </xf>
    <xf numFmtId="0" fontId="28" fillId="2" borderId="13" xfId="0" applyFont="1" applyFill="1" applyBorder="1" applyAlignment="1" applyProtection="1">
      <alignment horizontal="center" wrapText="1"/>
      <protection hidden="1"/>
    </xf>
    <xf numFmtId="0" fontId="39" fillId="9" borderId="0" xfId="0" applyFont="1" applyFill="1" applyProtection="1">
      <protection hidden="1"/>
    </xf>
    <xf numFmtId="172" fontId="56" fillId="9" borderId="0" xfId="0" applyNumberFormat="1" applyFont="1" applyFill="1" applyAlignment="1">
      <alignment vertical="top" wrapText="1"/>
    </xf>
    <xf numFmtId="172" fontId="56" fillId="9" borderId="0" xfId="0" applyNumberFormat="1" applyFont="1" applyFill="1"/>
    <xf numFmtId="172" fontId="34" fillId="9" borderId="0" xfId="0" applyNumberFormat="1" applyFont="1" applyFill="1" applyAlignment="1" applyProtection="1">
      <alignment horizontal="right"/>
      <protection hidden="1"/>
    </xf>
    <xf numFmtId="16" fontId="28" fillId="0" borderId="18" xfId="0" quotePrefix="1" applyNumberFormat="1" applyFont="1" applyBorder="1" applyAlignment="1" applyProtection="1">
      <alignment horizontal="left"/>
      <protection hidden="1"/>
    </xf>
    <xf numFmtId="49" fontId="28" fillId="0" borderId="18" xfId="0" applyNumberFormat="1" applyFont="1" applyBorder="1" applyProtection="1">
      <protection hidden="1"/>
    </xf>
    <xf numFmtId="172" fontId="34" fillId="9" borderId="0" xfId="0" applyNumberFormat="1" applyFont="1" applyFill="1" applyProtection="1">
      <protection hidden="1"/>
    </xf>
    <xf numFmtId="0" fontId="28" fillId="2" borderId="14" xfId="0" applyFont="1" applyFill="1" applyBorder="1" applyAlignment="1" applyProtection="1">
      <alignment horizontal="center" wrapText="1"/>
      <protection hidden="1"/>
    </xf>
    <xf numFmtId="172" fontId="28" fillId="9" borderId="7" xfId="0" applyNumberFormat="1" applyFont="1" applyFill="1" applyBorder="1" applyProtection="1">
      <protection hidden="1"/>
    </xf>
    <xf numFmtId="172" fontId="28" fillId="9" borderId="6" xfId="0" applyNumberFormat="1" applyFont="1" applyFill="1" applyBorder="1" applyProtection="1">
      <protection hidden="1"/>
    </xf>
    <xf numFmtId="172" fontId="28" fillId="7" borderId="3" xfId="0" applyNumberFormat="1" applyFont="1" applyFill="1" applyBorder="1" applyProtection="1">
      <protection hidden="1"/>
    </xf>
    <xf numFmtId="172" fontId="28" fillId="9" borderId="2" xfId="0" applyNumberFormat="1" applyFont="1" applyFill="1" applyBorder="1" applyProtection="1">
      <protection hidden="1"/>
    </xf>
    <xf numFmtId="172" fontId="28" fillId="9" borderId="1" xfId="0" applyNumberFormat="1" applyFont="1" applyFill="1" applyBorder="1" applyProtection="1">
      <protection hidden="1"/>
    </xf>
    <xf numFmtId="172" fontId="28" fillId="9" borderId="4" xfId="0" quotePrefix="1" applyNumberFormat="1" applyFont="1" applyFill="1" applyBorder="1" applyProtection="1">
      <protection hidden="1"/>
    </xf>
    <xf numFmtId="172" fontId="28" fillId="0" borderId="18" xfId="0" quotePrefix="1" applyNumberFormat="1" applyFont="1" applyBorder="1" applyProtection="1">
      <protection hidden="1"/>
    </xf>
    <xf numFmtId="172" fontId="34" fillId="7" borderId="14" xfId="0" applyNumberFormat="1" applyFont="1" applyFill="1" applyBorder="1" applyProtection="1">
      <protection hidden="1"/>
    </xf>
    <xf numFmtId="0" fontId="56" fillId="0" borderId="0" xfId="0" applyFont="1" applyAlignment="1" applyProtection="1">
      <alignment horizontal="right"/>
      <protection hidden="1"/>
    </xf>
    <xf numFmtId="0" fontId="34" fillId="0" borderId="1" xfId="0" applyFont="1" applyBorder="1"/>
    <xf numFmtId="0" fontId="39" fillId="0" borderId="4" xfId="0" applyFont="1" applyBorder="1" applyProtection="1">
      <protection hidden="1"/>
    </xf>
    <xf numFmtId="2" fontId="28" fillId="3" borderId="8" xfId="0" applyNumberFormat="1" applyFont="1" applyFill="1" applyBorder="1" applyAlignment="1" applyProtection="1">
      <alignment horizontal="center"/>
      <protection locked="0"/>
    </xf>
    <xf numFmtId="2" fontId="28" fillId="3" borderId="13" xfId="0" applyNumberFormat="1" applyFont="1" applyFill="1" applyBorder="1" applyAlignment="1" applyProtection="1">
      <alignment horizontal="center"/>
      <protection locked="0"/>
    </xf>
    <xf numFmtId="2" fontId="28" fillId="0" borderId="17" xfId="0" applyNumberFormat="1" applyFont="1" applyBorder="1" applyAlignment="1" applyProtection="1">
      <alignment horizontal="right"/>
      <protection hidden="1"/>
    </xf>
    <xf numFmtId="2" fontId="28" fillId="3" borderId="7" xfId="0" applyNumberFormat="1" applyFont="1" applyFill="1" applyBorder="1" applyAlignment="1" applyProtection="1">
      <alignment horizontal="center"/>
      <protection locked="0"/>
    </xf>
    <xf numFmtId="14" fontId="28" fillId="3" borderId="14" xfId="0" applyNumberFormat="1" applyFont="1" applyFill="1" applyBorder="1" applyAlignment="1" applyProtection="1">
      <alignment horizontal="center" vertical="center"/>
      <protection locked="0"/>
    </xf>
    <xf numFmtId="14" fontId="34" fillId="7" borderId="14" xfId="0" applyNumberFormat="1" applyFont="1" applyFill="1" applyBorder="1" applyAlignment="1" applyProtection="1">
      <alignment horizontal="center" vertical="center"/>
      <protection hidden="1"/>
    </xf>
    <xf numFmtId="0" fontId="34" fillId="0" borderId="4" xfId="0" applyFont="1" applyBorder="1" applyAlignment="1" applyProtection="1">
      <alignment vertical="center"/>
      <protection hidden="1"/>
    </xf>
    <xf numFmtId="0" fontId="28" fillId="0" borderId="0" xfId="0" applyFont="1" applyAlignment="1" applyProtection="1">
      <alignment horizontal="center" vertical="center"/>
      <protection hidden="1"/>
    </xf>
    <xf numFmtId="3" fontId="34" fillId="7" borderId="15" xfId="0" applyNumberFormat="1" applyFont="1" applyFill="1" applyBorder="1" applyAlignment="1" applyProtection="1">
      <alignment horizontal="center" vertical="center"/>
      <protection hidden="1"/>
    </xf>
    <xf numFmtId="14" fontId="56" fillId="0" borderId="0" xfId="0" applyNumberFormat="1" applyFont="1" applyProtection="1">
      <protection hidden="1"/>
    </xf>
    <xf numFmtId="0" fontId="70" fillId="0" borderId="5" xfId="0" applyFont="1" applyBorder="1" applyAlignment="1">
      <alignment vertical="top" wrapText="1"/>
    </xf>
    <xf numFmtId="0" fontId="0" fillId="0" borderId="2" xfId="0" applyBorder="1" applyProtection="1">
      <protection hidden="1"/>
    </xf>
    <xf numFmtId="0" fontId="70" fillId="0" borderId="0" xfId="0" applyFont="1" applyAlignment="1">
      <alignment vertical="top" wrapText="1"/>
    </xf>
    <xf numFmtId="0" fontId="34" fillId="0" borderId="2" xfId="0" applyFont="1" applyBorder="1"/>
    <xf numFmtId="2" fontId="28" fillId="0" borderId="0" xfId="0" applyNumberFormat="1" applyFont="1" applyProtection="1">
      <protection hidden="1"/>
    </xf>
    <xf numFmtId="0" fontId="70" fillId="0" borderId="7" xfId="0" applyFont="1" applyBorder="1" applyAlignment="1">
      <alignment vertical="top" wrapText="1"/>
    </xf>
    <xf numFmtId="0" fontId="35" fillId="0" borderId="19" xfId="0" applyFont="1" applyBorder="1" applyAlignment="1">
      <alignment horizontal="center"/>
    </xf>
    <xf numFmtId="49" fontId="28" fillId="0" borderId="0" xfId="0" applyNumberFormat="1" applyFont="1" applyAlignment="1" applyProtection="1">
      <alignment horizontal="left" wrapText="1"/>
      <protection hidden="1"/>
    </xf>
    <xf numFmtId="0" fontId="35" fillId="0" borderId="40" xfId="0" applyFont="1" applyBorder="1"/>
    <xf numFmtId="0" fontId="40" fillId="0" borderId="40" xfId="0" applyFont="1" applyBorder="1"/>
    <xf numFmtId="0" fontId="40" fillId="0" borderId="0" xfId="0" applyFont="1" applyAlignment="1">
      <alignment horizontal="right"/>
    </xf>
    <xf numFmtId="0" fontId="41" fillId="0" borderId="0" xfId="0" applyFont="1" applyAlignment="1">
      <alignment horizontal="right"/>
    </xf>
    <xf numFmtId="0" fontId="40" fillId="0" borderId="49" xfId="0" applyFont="1" applyBorder="1"/>
    <xf numFmtId="0" fontId="41" fillId="0" borderId="48" xfId="0" applyFont="1" applyBorder="1" applyAlignment="1">
      <alignment horizontal="right"/>
    </xf>
    <xf numFmtId="169" fontId="40" fillId="3" borderId="14" xfId="0" applyNumberFormat="1" applyFont="1" applyFill="1" applyBorder="1" applyAlignment="1" applyProtection="1">
      <alignment vertical="center"/>
      <protection locked="0"/>
    </xf>
    <xf numFmtId="168" fontId="40" fillId="0" borderId="0" xfId="0" applyNumberFormat="1" applyFont="1" applyAlignment="1">
      <alignment vertical="center"/>
    </xf>
    <xf numFmtId="0" fontId="28" fillId="0" borderId="0" xfId="0" applyFont="1" applyAlignment="1">
      <alignment vertical="center"/>
    </xf>
    <xf numFmtId="0" fontId="40" fillId="0" borderId="0" xfId="0" applyFont="1" applyAlignment="1">
      <alignment vertical="center"/>
    </xf>
    <xf numFmtId="169" fontId="35" fillId="7" borderId="9" xfId="0" applyNumberFormat="1" applyFont="1" applyFill="1" applyBorder="1" applyAlignment="1" applyProtection="1">
      <alignment vertical="center"/>
      <protection hidden="1"/>
    </xf>
    <xf numFmtId="2" fontId="40" fillId="0" borderId="0" xfId="0" applyNumberFormat="1" applyFont="1" applyAlignment="1" applyProtection="1">
      <alignment vertical="center"/>
      <protection hidden="1"/>
    </xf>
    <xf numFmtId="10" fontId="40" fillId="7" borderId="14" xfId="0" applyNumberFormat="1" applyFont="1" applyFill="1" applyBorder="1" applyAlignment="1" applyProtection="1">
      <alignment vertical="center"/>
      <protection hidden="1"/>
    </xf>
    <xf numFmtId="2" fontId="40" fillId="0" borderId="0" xfId="0" applyNumberFormat="1" applyFont="1" applyAlignment="1">
      <alignment vertical="center"/>
    </xf>
    <xf numFmtId="0" fontId="40" fillId="0" borderId="40" xfId="0" applyFont="1" applyBorder="1" applyAlignment="1">
      <alignment vertical="center"/>
    </xf>
    <xf numFmtId="168" fontId="40" fillId="0" borderId="0" xfId="0" applyNumberFormat="1" applyFont="1"/>
    <xf numFmtId="0" fontId="40" fillId="10" borderId="3" xfId="0" applyFont="1" applyFill="1" applyBorder="1" applyAlignment="1">
      <alignment horizontal="center" wrapText="1"/>
    </xf>
    <xf numFmtId="0" fontId="41" fillId="10" borderId="24" xfId="0" applyFont="1" applyFill="1" applyBorder="1" applyAlignment="1">
      <alignment horizontal="center"/>
    </xf>
    <xf numFmtId="0" fontId="73" fillId="0" borderId="0" xfId="0" applyFont="1" applyProtection="1">
      <protection hidden="1"/>
    </xf>
    <xf numFmtId="0" fontId="28" fillId="0" borderId="0" xfId="0" quotePrefix="1" applyFont="1" applyProtection="1">
      <protection hidden="1"/>
    </xf>
    <xf numFmtId="165" fontId="28" fillId="7" borderId="14" xfId="0" applyNumberFormat="1" applyFont="1" applyFill="1" applyBorder="1" applyProtection="1">
      <protection hidden="1"/>
    </xf>
    <xf numFmtId="1" fontId="28" fillId="7" borderId="14" xfId="0" applyNumberFormat="1" applyFont="1" applyFill="1" applyBorder="1" applyAlignment="1" applyProtection="1">
      <alignment horizontal="center"/>
      <protection hidden="1"/>
    </xf>
    <xf numFmtId="165" fontId="34" fillId="7" borderId="14" xfId="0" applyNumberFormat="1" applyFont="1" applyFill="1" applyBorder="1" applyProtection="1">
      <protection hidden="1"/>
    </xf>
    <xf numFmtId="2" fontId="35" fillId="7" borderId="15" xfId="0" applyNumberFormat="1" applyFont="1" applyFill="1" applyBorder="1" applyAlignment="1" applyProtection="1">
      <alignment vertical="center"/>
      <protection hidden="1"/>
    </xf>
    <xf numFmtId="0" fontId="34" fillId="7" borderId="14" xfId="0" applyFont="1" applyFill="1" applyBorder="1" applyAlignment="1" applyProtection="1">
      <alignment horizontal="center" vertical="center"/>
      <protection hidden="1"/>
    </xf>
    <xf numFmtId="0" fontId="34" fillId="0" borderId="0" xfId="0" applyFont="1" applyAlignment="1" applyProtection="1">
      <alignment horizontal="right" vertical="center"/>
      <protection hidden="1"/>
    </xf>
    <xf numFmtId="173" fontId="34" fillId="7" borderId="14" xfId="0" applyNumberFormat="1" applyFont="1" applyFill="1" applyBorder="1" applyAlignment="1" applyProtection="1">
      <alignment horizontal="center" vertical="center"/>
      <protection hidden="1"/>
    </xf>
    <xf numFmtId="10" fontId="40" fillId="7" borderId="15" xfId="0" applyNumberFormat="1" applyFont="1" applyFill="1" applyBorder="1" applyAlignment="1" applyProtection="1">
      <alignment horizontal="right" vertical="center"/>
      <protection hidden="1"/>
    </xf>
    <xf numFmtId="165" fontId="40" fillId="7" borderId="11" xfId="0" applyNumberFormat="1" applyFont="1" applyFill="1" applyBorder="1" applyAlignment="1" applyProtection="1">
      <alignment horizontal="right" vertical="center"/>
      <protection hidden="1"/>
    </xf>
    <xf numFmtId="165" fontId="40" fillId="7" borderId="15" xfId="0" applyNumberFormat="1" applyFont="1" applyFill="1" applyBorder="1" applyAlignment="1" applyProtection="1">
      <alignment horizontal="right" vertical="center"/>
      <protection hidden="1"/>
    </xf>
    <xf numFmtId="1" fontId="48" fillId="3" borderId="33" xfId="0" applyNumberFormat="1" applyFont="1" applyFill="1" applyBorder="1" applyAlignment="1" applyProtection="1">
      <alignment horizontal="center"/>
      <protection locked="0"/>
    </xf>
    <xf numFmtId="1" fontId="48" fillId="3" borderId="5" xfId="0" applyNumberFormat="1" applyFont="1" applyFill="1" applyBorder="1" applyAlignment="1" applyProtection="1">
      <alignment horizontal="center"/>
      <protection locked="0"/>
    </xf>
    <xf numFmtId="0" fontId="40" fillId="0" borderId="13" xfId="0" applyFont="1" applyBorder="1" applyProtection="1">
      <protection hidden="1"/>
    </xf>
    <xf numFmtId="0" fontId="40" fillId="0" borderId="0" xfId="0" applyFont="1" applyAlignment="1" applyProtection="1">
      <alignment horizontal="center"/>
      <protection hidden="1"/>
    </xf>
    <xf numFmtId="177" fontId="0" fillId="9" borderId="0" xfId="0" applyNumberFormat="1" applyFill="1" applyProtection="1">
      <protection hidden="1"/>
    </xf>
    <xf numFmtId="0" fontId="75" fillId="0" borderId="0" xfId="0" applyFont="1" applyProtection="1">
      <protection hidden="1"/>
    </xf>
    <xf numFmtId="0" fontId="45" fillId="0" borderId="0" xfId="0" applyFont="1" applyAlignment="1" applyProtection="1">
      <alignment horizontal="center"/>
      <protection hidden="1"/>
    </xf>
    <xf numFmtId="0" fontId="28" fillId="2" borderId="19" xfId="0" applyFont="1" applyFill="1" applyBorder="1" applyAlignment="1" applyProtection="1">
      <alignment horizontal="center" vertical="top"/>
      <protection hidden="1"/>
    </xf>
    <xf numFmtId="14" fontId="28" fillId="2" borderId="24" xfId="0" applyNumberFormat="1" applyFont="1" applyFill="1" applyBorder="1" applyAlignment="1" applyProtection="1">
      <alignment horizontal="center" vertical="top"/>
      <protection hidden="1"/>
    </xf>
    <xf numFmtId="0" fontId="78" fillId="0" borderId="0" xfId="0" applyFont="1"/>
    <xf numFmtId="0" fontId="35" fillId="11" borderId="34" xfId="0" applyFont="1" applyFill="1" applyBorder="1" applyAlignment="1">
      <alignment horizontal="left" vertical="center"/>
    </xf>
    <xf numFmtId="0" fontId="35" fillId="11" borderId="53" xfId="0" applyFont="1" applyFill="1" applyBorder="1" applyAlignment="1">
      <alignment horizontal="left" vertical="center" wrapText="1"/>
    </xf>
    <xf numFmtId="0" fontId="35" fillId="11" borderId="35" xfId="0" applyFont="1" applyFill="1" applyBorder="1" applyAlignment="1">
      <alignment horizontal="left" vertical="center"/>
    </xf>
    <xf numFmtId="0" fontId="35" fillId="0" borderId="54" xfId="0" applyFont="1" applyBorder="1" applyAlignment="1">
      <alignment horizontal="left" vertical="top" wrapText="1"/>
    </xf>
    <xf numFmtId="0" fontId="40" fillId="0" borderId="24" xfId="0" quotePrefix="1" applyFont="1" applyBorder="1" applyAlignment="1">
      <alignment horizontal="left" vertical="top" wrapText="1"/>
    </xf>
    <xf numFmtId="0" fontId="40" fillId="0" borderId="55" xfId="0" quotePrefix="1" applyFont="1" applyBorder="1" applyAlignment="1">
      <alignment horizontal="left" vertical="top" wrapText="1"/>
    </xf>
    <xf numFmtId="0" fontId="35" fillId="0" borderId="56" xfId="0" applyFont="1" applyBorder="1" applyAlignment="1">
      <alignment horizontal="left" vertical="top" wrapText="1"/>
    </xf>
    <xf numFmtId="0" fontId="40" fillId="0" borderId="14" xfId="0" quotePrefix="1" applyFont="1" applyBorder="1" applyAlignment="1">
      <alignment horizontal="left" vertical="top" wrapText="1"/>
    </xf>
    <xf numFmtId="0" fontId="40" fillId="0" borderId="57" xfId="0" quotePrefix="1" applyFont="1" applyBorder="1" applyAlignment="1">
      <alignment horizontal="left" vertical="top" wrapText="1"/>
    </xf>
    <xf numFmtId="0" fontId="40" fillId="0" borderId="57" xfId="0" applyFont="1" applyBorder="1" applyAlignment="1">
      <alignment horizontal="left" vertical="top" wrapText="1"/>
    </xf>
    <xf numFmtId="0" fontId="35" fillId="0" borderId="58" xfId="0" applyFont="1" applyBorder="1" applyAlignment="1">
      <alignment horizontal="left" vertical="top" wrapText="1"/>
    </xf>
    <xf numFmtId="0" fontId="40" fillId="0" borderId="59" xfId="0" quotePrefix="1" applyFont="1" applyBorder="1" applyAlignment="1">
      <alignment horizontal="left" vertical="top" wrapText="1"/>
    </xf>
    <xf numFmtId="0" fontId="40" fillId="0" borderId="60" xfId="0" applyFont="1" applyBorder="1" applyAlignment="1">
      <alignment horizontal="left" vertical="top" wrapText="1"/>
    </xf>
    <xf numFmtId="0" fontId="35" fillId="0" borderId="61" xfId="0" applyFont="1" applyBorder="1" applyAlignment="1">
      <alignment horizontal="left" vertical="top" wrapText="1"/>
    </xf>
    <xf numFmtId="0" fontId="40" fillId="0" borderId="62" xfId="0" applyFont="1" applyBorder="1" applyAlignment="1">
      <alignment horizontal="left" vertical="top" wrapText="1"/>
    </xf>
    <xf numFmtId="0" fontId="40" fillId="0" borderId="63" xfId="0" applyFont="1" applyBorder="1" applyAlignment="1">
      <alignment horizontal="left" vertical="top" wrapText="1"/>
    </xf>
    <xf numFmtId="0" fontId="40" fillId="0" borderId="14" xfId="0" applyFont="1" applyBorder="1" applyAlignment="1">
      <alignment horizontal="left" vertical="top" wrapText="1"/>
    </xf>
    <xf numFmtId="0" fontId="40" fillId="0" borderId="59" xfId="0" applyFont="1" applyBorder="1" applyAlignment="1">
      <alignment horizontal="left" vertical="top" wrapText="1"/>
    </xf>
    <xf numFmtId="0" fontId="78" fillId="0" borderId="0" xfId="0" applyFont="1" applyAlignment="1">
      <alignment vertical="center"/>
    </xf>
    <xf numFmtId="0" fontId="35" fillId="0" borderId="0" xfId="0" applyFont="1" applyAlignment="1">
      <alignment vertical="center"/>
    </xf>
    <xf numFmtId="0" fontId="47" fillId="0" borderId="0" xfId="0" applyFont="1" applyAlignment="1">
      <alignment horizontal="left" vertical="center"/>
    </xf>
    <xf numFmtId="0" fontId="28" fillId="0" borderId="0" xfId="0" applyFont="1" applyAlignment="1">
      <alignment horizontal="left" vertical="center"/>
    </xf>
    <xf numFmtId="0" fontId="38" fillId="0" borderId="0" xfId="0" applyFont="1"/>
    <xf numFmtId="0" fontId="47" fillId="0" borderId="0" xfId="0" applyFont="1"/>
    <xf numFmtId="0" fontId="29" fillId="6" borderId="4" xfId="0" applyFont="1" applyFill="1" applyBorder="1"/>
    <xf numFmtId="0" fontId="29" fillId="6" borderId="0" xfId="0" applyFont="1" applyFill="1"/>
    <xf numFmtId="0" fontId="29" fillId="6" borderId="5" xfId="0" applyFont="1" applyFill="1" applyBorder="1"/>
    <xf numFmtId="0" fontId="40" fillId="6" borderId="4" xfId="0" applyFont="1" applyFill="1" applyBorder="1"/>
    <xf numFmtId="0" fontId="35" fillId="6" borderId="4" xfId="0" applyFont="1" applyFill="1" applyBorder="1"/>
    <xf numFmtId="0" fontId="35" fillId="6" borderId="1" xfId="0" applyFont="1" applyFill="1" applyBorder="1"/>
    <xf numFmtId="0" fontId="29" fillId="6" borderId="2" xfId="0" applyFont="1" applyFill="1" applyBorder="1"/>
    <xf numFmtId="0" fontId="29" fillId="6" borderId="3" xfId="0" applyFont="1" applyFill="1" applyBorder="1"/>
    <xf numFmtId="0" fontId="29" fillId="6" borderId="6" xfId="0" applyFont="1" applyFill="1" applyBorder="1"/>
    <xf numFmtId="0" fontId="29" fillId="6" borderId="7" xfId="0" applyFont="1" applyFill="1" applyBorder="1"/>
    <xf numFmtId="0" fontId="29" fillId="6" borderId="8" xfId="0" applyFont="1" applyFill="1" applyBorder="1"/>
    <xf numFmtId="0" fontId="40" fillId="6" borderId="0" xfId="0" applyFont="1" applyFill="1"/>
    <xf numFmtId="0" fontId="40" fillId="6" borderId="5" xfId="0" applyFont="1" applyFill="1" applyBorder="1"/>
    <xf numFmtId="0" fontId="81" fillId="6" borderId="5" xfId="0" applyFont="1" applyFill="1" applyBorder="1"/>
    <xf numFmtId="0" fontId="35" fillId="3" borderId="14" xfId="0" applyFont="1" applyFill="1" applyBorder="1" applyAlignment="1" applyProtection="1">
      <alignment horizontal="center"/>
      <protection locked="0"/>
    </xf>
    <xf numFmtId="0" fontId="40" fillId="6" borderId="0" xfId="0" applyFont="1" applyFill="1" applyProtection="1">
      <protection hidden="1"/>
    </xf>
    <xf numFmtId="0" fontId="35" fillId="6" borderId="0" xfId="0" applyFont="1" applyFill="1" applyAlignment="1" applyProtection="1">
      <alignment horizontal="center"/>
      <protection hidden="1"/>
    </xf>
    <xf numFmtId="0" fontId="29" fillId="3" borderId="14" xfId="0" applyFont="1" applyFill="1" applyBorder="1" applyProtection="1">
      <protection locked="0"/>
    </xf>
    <xf numFmtId="0" fontId="44" fillId="6" borderId="0" xfId="0" applyFont="1" applyFill="1"/>
    <xf numFmtId="0" fontId="0" fillId="6" borderId="4" xfId="0" applyFill="1" applyBorder="1"/>
    <xf numFmtId="168" fontId="40" fillId="10" borderId="0" xfId="0" applyNumberFormat="1" applyFont="1" applyFill="1" applyProtection="1">
      <protection hidden="1"/>
    </xf>
    <xf numFmtId="0" fontId="53" fillId="0" borderId="0" xfId="0" applyFont="1" applyAlignment="1" applyProtection="1">
      <alignment vertical="center"/>
      <protection hidden="1"/>
    </xf>
    <xf numFmtId="0" fontId="30" fillId="0" borderId="0" xfId="0" applyFont="1"/>
    <xf numFmtId="0" fontId="73" fillId="0" borderId="0" xfId="0" applyFont="1"/>
    <xf numFmtId="174" fontId="28" fillId="0" borderId="0" xfId="0" applyNumberFormat="1" applyFont="1"/>
    <xf numFmtId="175" fontId="28" fillId="0" borderId="0" xfId="0" applyNumberFormat="1" applyFont="1"/>
    <xf numFmtId="0" fontId="67" fillId="0" borderId="0" xfId="0" applyFont="1"/>
    <xf numFmtId="0" fontId="56" fillId="0" borderId="0" xfId="0" applyFont="1" applyAlignment="1">
      <alignment vertical="center"/>
    </xf>
    <xf numFmtId="0" fontId="54" fillId="0" borderId="0" xfId="0" applyFont="1"/>
    <xf numFmtId="165" fontId="28" fillId="0" borderId="0" xfId="0" applyNumberFormat="1" applyFont="1"/>
    <xf numFmtId="0" fontId="68" fillId="0" borderId="0" xfId="0" applyFont="1"/>
    <xf numFmtId="0" fontId="57" fillId="0" borderId="0" xfId="0" applyFont="1"/>
    <xf numFmtId="0" fontId="46" fillId="0" borderId="0" xfId="0" applyFont="1" applyAlignment="1" applyProtection="1">
      <alignment horizontal="left"/>
      <protection hidden="1"/>
    </xf>
    <xf numFmtId="0" fontId="39" fillId="0" borderId="0" xfId="0" applyFont="1" applyAlignment="1" applyProtection="1">
      <alignment horizontal="center"/>
      <protection hidden="1"/>
    </xf>
    <xf numFmtId="0" fontId="86" fillId="0" borderId="0" xfId="0" applyFont="1" applyProtection="1">
      <protection hidden="1"/>
    </xf>
    <xf numFmtId="0" fontId="85" fillId="9" borderId="0" xfId="0" applyFont="1" applyFill="1" applyProtection="1">
      <protection hidden="1"/>
    </xf>
    <xf numFmtId="0" fontId="49" fillId="9" borderId="4" xfId="0" applyFont="1" applyFill="1" applyBorder="1" applyProtection="1">
      <protection hidden="1"/>
    </xf>
    <xf numFmtId="0" fontId="66" fillId="9" borderId="4" xfId="0" applyFont="1" applyFill="1" applyBorder="1" applyProtection="1">
      <protection hidden="1"/>
    </xf>
    <xf numFmtId="0" fontId="31" fillId="9" borderId="0" xfId="0" applyFont="1" applyFill="1" applyProtection="1">
      <protection hidden="1"/>
    </xf>
    <xf numFmtId="0" fontId="0" fillId="9" borderId="4" xfId="0" applyFill="1" applyBorder="1" applyProtection="1">
      <protection hidden="1"/>
    </xf>
    <xf numFmtId="0" fontId="28" fillId="9" borderId="4" xfId="0" applyFont="1" applyFill="1" applyBorder="1" applyProtection="1">
      <protection hidden="1"/>
    </xf>
    <xf numFmtId="0" fontId="47" fillId="9" borderId="0" xfId="0" applyFont="1" applyFill="1" applyAlignment="1" applyProtection="1">
      <alignment horizontal="left"/>
      <protection hidden="1"/>
    </xf>
    <xf numFmtId="0" fontId="54" fillId="9" borderId="4" xfId="0" applyFont="1" applyFill="1" applyBorder="1" applyProtection="1">
      <protection hidden="1"/>
    </xf>
    <xf numFmtId="0" fontId="28" fillId="9" borderId="0" xfId="0" applyFont="1" applyFill="1" applyAlignment="1" applyProtection="1">
      <alignment horizontal="center"/>
      <protection hidden="1"/>
    </xf>
    <xf numFmtId="0" fontId="54" fillId="9" borderId="0" xfId="0" applyFont="1" applyFill="1" applyProtection="1">
      <protection hidden="1"/>
    </xf>
    <xf numFmtId="0" fontId="54" fillId="9" borderId="0" xfId="0" applyFont="1" applyFill="1" applyAlignment="1" applyProtection="1">
      <alignment horizontal="center"/>
      <protection hidden="1"/>
    </xf>
    <xf numFmtId="2" fontId="54" fillId="9" borderId="0" xfId="0" applyNumberFormat="1" applyFont="1" applyFill="1" applyAlignment="1" applyProtection="1">
      <alignment horizontal="center"/>
      <protection hidden="1"/>
    </xf>
    <xf numFmtId="10" fontId="54" fillId="9" borderId="0" xfId="0" applyNumberFormat="1" applyFont="1" applyFill="1" applyAlignment="1" applyProtection="1">
      <alignment horizontal="center"/>
      <protection hidden="1"/>
    </xf>
    <xf numFmtId="0" fontId="67" fillId="9" borderId="0" xfId="0" applyFont="1" applyFill="1" applyAlignment="1" applyProtection="1">
      <alignment horizontal="left"/>
      <protection hidden="1"/>
    </xf>
    <xf numFmtId="169" fontId="54" fillId="9" borderId="0" xfId="0" applyNumberFormat="1" applyFont="1" applyFill="1" applyAlignment="1" applyProtection="1">
      <alignment horizontal="center"/>
      <protection hidden="1"/>
    </xf>
    <xf numFmtId="0" fontId="54" fillId="9" borderId="4" xfId="0" applyFont="1" applyFill="1" applyBorder="1" applyAlignment="1" applyProtection="1">
      <alignment horizontal="center"/>
      <protection hidden="1"/>
    </xf>
    <xf numFmtId="0" fontId="54" fillId="9" borderId="4" xfId="0" applyFont="1" applyFill="1" applyBorder="1" applyAlignment="1" applyProtection="1">
      <alignment horizontal="right"/>
      <protection hidden="1"/>
    </xf>
    <xf numFmtId="0" fontId="34" fillId="9" borderId="71" xfId="0" applyFont="1" applyFill="1" applyBorder="1" applyAlignment="1" applyProtection="1">
      <alignment horizontal="center"/>
      <protection hidden="1"/>
    </xf>
    <xf numFmtId="1" fontId="54" fillId="9" borderId="0" xfId="0" applyNumberFormat="1" applyFont="1" applyFill="1" applyAlignment="1" applyProtection="1">
      <alignment horizontal="center"/>
      <protection hidden="1"/>
    </xf>
    <xf numFmtId="0" fontId="54" fillId="9" borderId="67" xfId="0" applyFont="1" applyFill="1" applyBorder="1" applyProtection="1">
      <protection hidden="1"/>
    </xf>
    <xf numFmtId="0" fontId="75" fillId="9" borderId="4" xfId="0" applyFont="1" applyFill="1" applyBorder="1" applyProtection="1">
      <protection hidden="1"/>
    </xf>
    <xf numFmtId="1" fontId="68" fillId="9" borderId="0" xfId="0" applyNumberFormat="1" applyFont="1" applyFill="1" applyAlignment="1" applyProtection="1">
      <alignment horizontal="center"/>
      <protection hidden="1"/>
    </xf>
    <xf numFmtId="0" fontId="68" fillId="9" borderId="68" xfId="0" applyFont="1" applyFill="1" applyBorder="1" applyAlignment="1" applyProtection="1">
      <alignment horizontal="center"/>
      <protection hidden="1"/>
    </xf>
    <xf numFmtId="0" fontId="68" fillId="9" borderId="72" xfId="0" applyFont="1" applyFill="1" applyBorder="1" applyAlignment="1" applyProtection="1">
      <alignment horizontal="center"/>
      <protection hidden="1"/>
    </xf>
    <xf numFmtId="0" fontId="47" fillId="9" borderId="4" xfId="0" applyFont="1" applyFill="1" applyBorder="1" applyProtection="1">
      <protection hidden="1"/>
    </xf>
    <xf numFmtId="0" fontId="68" fillId="9" borderId="69" xfId="0" applyFont="1" applyFill="1" applyBorder="1" applyAlignment="1" applyProtection="1">
      <alignment horizontal="center"/>
      <protection hidden="1"/>
    </xf>
    <xf numFmtId="0" fontId="39" fillId="9" borderId="4" xfId="0" applyFont="1" applyFill="1" applyBorder="1" applyProtection="1">
      <protection hidden="1"/>
    </xf>
    <xf numFmtId="0" fontId="28" fillId="9" borderId="67" xfId="0" applyFont="1" applyFill="1" applyBorder="1" applyProtection="1">
      <protection hidden="1"/>
    </xf>
    <xf numFmtId="0" fontId="45" fillId="9" borderId="4" xfId="0" applyFont="1" applyFill="1" applyBorder="1" applyProtection="1">
      <protection hidden="1"/>
    </xf>
    <xf numFmtId="178" fontId="67" fillId="9" borderId="70" xfId="0" applyNumberFormat="1" applyFont="1" applyFill="1" applyBorder="1" applyAlignment="1" applyProtection="1">
      <alignment horizontal="center" vertical="center"/>
      <protection hidden="1"/>
    </xf>
    <xf numFmtId="178" fontId="67" fillId="9" borderId="74" xfId="0" applyNumberFormat="1" applyFont="1" applyFill="1" applyBorder="1" applyAlignment="1" applyProtection="1">
      <alignment horizontal="center" vertical="center"/>
      <protection hidden="1"/>
    </xf>
    <xf numFmtId="0" fontId="53" fillId="9" borderId="4" xfId="0" applyFont="1" applyFill="1" applyBorder="1" applyProtection="1">
      <protection hidden="1"/>
    </xf>
    <xf numFmtId="2" fontId="47" fillId="9" borderId="67" xfId="0" applyNumberFormat="1" applyFont="1" applyFill="1" applyBorder="1" applyAlignment="1" applyProtection="1">
      <alignment horizontal="center" vertical="center"/>
      <protection hidden="1"/>
    </xf>
    <xf numFmtId="0" fontId="67" fillId="9" borderId="67" xfId="0" applyFont="1" applyFill="1" applyBorder="1" applyAlignment="1" applyProtection="1">
      <alignment horizontal="center" vertical="center"/>
      <protection hidden="1"/>
    </xf>
    <xf numFmtId="2" fontId="67" fillId="9" borderId="67" xfId="0" applyNumberFormat="1" applyFont="1" applyFill="1" applyBorder="1" applyAlignment="1" applyProtection="1">
      <alignment horizontal="center" vertical="center"/>
      <protection hidden="1"/>
    </xf>
    <xf numFmtId="2" fontId="67" fillId="9" borderId="76" xfId="0" applyNumberFormat="1" applyFont="1" applyFill="1" applyBorder="1" applyAlignment="1" applyProtection="1">
      <alignment horizontal="center" vertical="center"/>
      <protection hidden="1"/>
    </xf>
    <xf numFmtId="0" fontId="45" fillId="9" borderId="66" xfId="0" applyFont="1" applyFill="1" applyBorder="1" applyAlignment="1" applyProtection="1">
      <alignment horizontal="center" vertical="center"/>
      <protection hidden="1"/>
    </xf>
    <xf numFmtId="10" fontId="82" fillId="9" borderId="66" xfId="4" applyNumberFormat="1" applyFont="1" applyFill="1" applyBorder="1" applyAlignment="1" applyProtection="1">
      <alignment horizontal="center" vertical="center"/>
      <protection hidden="1"/>
    </xf>
    <xf numFmtId="0" fontId="28" fillId="9" borderId="70" xfId="0" applyFont="1" applyFill="1" applyBorder="1" applyProtection="1">
      <protection hidden="1"/>
    </xf>
    <xf numFmtId="0" fontId="34" fillId="9" borderId="80" xfId="0" applyFont="1" applyFill="1" applyBorder="1" applyAlignment="1" applyProtection="1">
      <alignment horizontal="center"/>
      <protection hidden="1"/>
    </xf>
    <xf numFmtId="0" fontId="34" fillId="9" borderId="82" xfId="0" applyFont="1" applyFill="1" applyBorder="1" applyAlignment="1" applyProtection="1">
      <alignment horizontal="center"/>
      <protection hidden="1"/>
    </xf>
    <xf numFmtId="0" fontId="28" fillId="9" borderId="81" xfId="0" applyFont="1" applyFill="1" applyBorder="1" applyProtection="1">
      <protection hidden="1"/>
    </xf>
    <xf numFmtId="0" fontId="87" fillId="9" borderId="4" xfId="0" applyFont="1" applyFill="1" applyBorder="1"/>
    <xf numFmtId="0" fontId="28" fillId="6" borderId="0" xfId="0" applyFont="1" applyFill="1" applyProtection="1">
      <protection hidden="1"/>
    </xf>
    <xf numFmtId="0" fontId="28" fillId="12" borderId="62" xfId="0" applyFont="1" applyFill="1" applyBorder="1" applyAlignment="1" applyProtection="1">
      <alignment horizontal="center"/>
      <protection hidden="1"/>
    </xf>
    <xf numFmtId="0" fontId="28" fillId="12" borderId="88" xfId="0" applyFont="1" applyFill="1" applyBorder="1" applyProtection="1">
      <protection hidden="1"/>
    </xf>
    <xf numFmtId="0" fontId="28" fillId="12" borderId="95" xfId="0" applyFont="1" applyFill="1" applyBorder="1" applyProtection="1">
      <protection hidden="1"/>
    </xf>
    <xf numFmtId="0" fontId="28" fillId="12" borderId="96" xfId="0" applyFont="1" applyFill="1" applyBorder="1" applyProtection="1">
      <protection hidden="1"/>
    </xf>
    <xf numFmtId="0" fontId="28" fillId="12" borderId="0" xfId="0" applyFont="1" applyFill="1" applyProtection="1">
      <protection hidden="1"/>
    </xf>
    <xf numFmtId="0" fontId="28" fillId="12" borderId="51" xfId="0" applyFont="1" applyFill="1" applyBorder="1" applyProtection="1">
      <protection hidden="1"/>
    </xf>
    <xf numFmtId="2" fontId="39" fillId="12" borderId="0" xfId="0" applyNumberFormat="1" applyFont="1" applyFill="1" applyProtection="1">
      <protection hidden="1"/>
    </xf>
    <xf numFmtId="176" fontId="39" fillId="12" borderId="0" xfId="0" applyNumberFormat="1" applyFont="1" applyFill="1" applyProtection="1">
      <protection hidden="1"/>
    </xf>
    <xf numFmtId="0" fontId="28" fillId="12" borderId="0" xfId="0" applyFont="1" applyFill="1" applyAlignment="1" applyProtection="1">
      <alignment horizontal="center"/>
      <protection hidden="1"/>
    </xf>
    <xf numFmtId="176" fontId="28" fillId="12" borderId="0" xfId="0" applyNumberFormat="1" applyFont="1" applyFill="1" applyProtection="1">
      <protection hidden="1"/>
    </xf>
    <xf numFmtId="10" fontId="39" fillId="12" borderId="0" xfId="4" applyNumberFormat="1" applyFont="1" applyFill="1" applyBorder="1" applyProtection="1">
      <protection hidden="1"/>
    </xf>
    <xf numFmtId="1" fontId="54" fillId="12" borderId="0" xfId="0" applyNumberFormat="1" applyFont="1" applyFill="1" applyAlignment="1" applyProtection="1">
      <alignment horizontal="center"/>
      <protection hidden="1"/>
    </xf>
    <xf numFmtId="0" fontId="53" fillId="12" borderId="88" xfId="0" applyFont="1" applyFill="1" applyBorder="1" applyProtection="1">
      <protection hidden="1"/>
    </xf>
    <xf numFmtId="0" fontId="34" fillId="12" borderId="88" xfId="0" applyFont="1" applyFill="1" applyBorder="1" applyProtection="1">
      <protection hidden="1"/>
    </xf>
    <xf numFmtId="0" fontId="28" fillId="12" borderId="90" xfId="0" applyFont="1" applyFill="1" applyBorder="1" applyProtection="1">
      <protection hidden="1"/>
    </xf>
    <xf numFmtId="0" fontId="28" fillId="12" borderId="24" xfId="0" applyFont="1" applyFill="1" applyBorder="1" applyAlignment="1" applyProtection="1">
      <alignment horizontal="center"/>
      <protection hidden="1"/>
    </xf>
    <xf numFmtId="0" fontId="28" fillId="12" borderId="7" xfId="0" applyFont="1" applyFill="1" applyBorder="1" applyAlignment="1" applyProtection="1">
      <alignment horizontal="center"/>
      <protection hidden="1"/>
    </xf>
    <xf numFmtId="0" fontId="28" fillId="12" borderId="91" xfId="0" applyFont="1" applyFill="1" applyBorder="1" applyProtection="1">
      <protection hidden="1"/>
    </xf>
    <xf numFmtId="0" fontId="28" fillId="12" borderId="92" xfId="0" applyFont="1" applyFill="1" applyBorder="1" applyProtection="1">
      <protection hidden="1"/>
    </xf>
    <xf numFmtId="0" fontId="28" fillId="12" borderId="93" xfId="0" applyFont="1" applyFill="1" applyBorder="1" applyProtection="1">
      <protection hidden="1"/>
    </xf>
    <xf numFmtId="0" fontId="28" fillId="12" borderId="94" xfId="0" applyFont="1" applyFill="1" applyBorder="1" applyProtection="1">
      <protection hidden="1"/>
    </xf>
    <xf numFmtId="0" fontId="28" fillId="12" borderId="6" xfId="0" applyFont="1" applyFill="1" applyBorder="1" applyAlignment="1" applyProtection="1">
      <alignment horizontal="center"/>
      <protection hidden="1"/>
    </xf>
    <xf numFmtId="0" fontId="28" fillId="12" borderId="4" xfId="0" applyFont="1" applyFill="1" applyBorder="1" applyAlignment="1" applyProtection="1">
      <alignment horizontal="center"/>
      <protection hidden="1"/>
    </xf>
    <xf numFmtId="0" fontId="28" fillId="12" borderId="89" xfId="0" applyFont="1" applyFill="1" applyBorder="1" applyProtection="1">
      <protection hidden="1"/>
    </xf>
    <xf numFmtId="0" fontId="28" fillId="6" borderId="93" xfId="0" applyFont="1" applyFill="1" applyBorder="1" applyProtection="1">
      <protection hidden="1"/>
    </xf>
    <xf numFmtId="0" fontId="88" fillId="0" borderId="0" xfId="0" applyFont="1" applyAlignment="1">
      <alignment horizontal="center"/>
    </xf>
    <xf numFmtId="171" fontId="35" fillId="7" borderId="14" xfId="0" applyNumberFormat="1" applyFont="1" applyFill="1" applyBorder="1" applyAlignment="1" applyProtection="1">
      <alignment horizontal="center"/>
      <protection hidden="1"/>
    </xf>
    <xf numFmtId="0" fontId="28" fillId="7" borderId="62" xfId="0" applyFont="1" applyFill="1" applyBorder="1" applyProtection="1">
      <protection hidden="1"/>
    </xf>
    <xf numFmtId="0" fontId="28" fillId="7" borderId="14" xfId="0" applyFont="1" applyFill="1" applyBorder="1" applyAlignment="1" applyProtection="1">
      <alignment horizontal="center"/>
      <protection hidden="1"/>
    </xf>
    <xf numFmtId="0" fontId="28" fillId="7" borderId="23" xfId="0" applyFont="1" applyFill="1" applyBorder="1" applyAlignment="1" applyProtection="1">
      <alignment horizontal="center"/>
      <protection hidden="1"/>
    </xf>
    <xf numFmtId="0" fontId="54" fillId="7" borderId="71" xfId="0" applyFont="1" applyFill="1" applyBorder="1" applyAlignment="1" applyProtection="1">
      <alignment horizontal="center"/>
      <protection hidden="1"/>
    </xf>
    <xf numFmtId="0" fontId="54" fillId="7" borderId="86" xfId="0" applyFont="1" applyFill="1" applyBorder="1" applyAlignment="1" applyProtection="1">
      <alignment horizontal="center"/>
      <protection hidden="1"/>
    </xf>
    <xf numFmtId="0" fontId="54" fillId="7" borderId="87" xfId="0" applyFont="1" applyFill="1" applyBorder="1" applyAlignment="1" applyProtection="1">
      <alignment horizontal="center"/>
      <protection hidden="1"/>
    </xf>
    <xf numFmtId="0" fontId="28" fillId="7" borderId="19" xfId="0" applyFont="1" applyFill="1" applyBorder="1" applyAlignment="1" applyProtection="1">
      <alignment horizontal="center"/>
      <protection hidden="1"/>
    </xf>
    <xf numFmtId="0" fontId="28" fillId="7" borderId="0" xfId="0" applyFont="1" applyFill="1" applyAlignment="1" applyProtection="1">
      <alignment horizontal="center"/>
      <protection hidden="1"/>
    </xf>
    <xf numFmtId="2" fontId="28" fillId="7" borderId="19" xfId="0" applyNumberFormat="1" applyFont="1" applyFill="1" applyBorder="1" applyAlignment="1" applyProtection="1">
      <alignment horizontal="center"/>
      <protection hidden="1"/>
    </xf>
    <xf numFmtId="2" fontId="28" fillId="7" borderId="0" xfId="0" applyNumberFormat="1" applyFont="1" applyFill="1" applyAlignment="1" applyProtection="1">
      <alignment horizontal="center"/>
      <protection hidden="1"/>
    </xf>
    <xf numFmtId="10" fontId="84" fillId="7" borderId="81" xfId="4" applyNumberFormat="1" applyFont="1" applyFill="1" applyBorder="1" applyProtection="1">
      <protection hidden="1"/>
    </xf>
    <xf numFmtId="10" fontId="84" fillId="7" borderId="83" xfId="4" applyNumberFormat="1" applyFont="1" applyFill="1" applyBorder="1" applyProtection="1">
      <protection hidden="1"/>
    </xf>
    <xf numFmtId="10" fontId="82" fillId="7" borderId="66" xfId="4" applyNumberFormat="1" applyFont="1" applyFill="1" applyBorder="1" applyAlignment="1" applyProtection="1">
      <alignment horizontal="center" vertical="center"/>
      <protection hidden="1"/>
    </xf>
    <xf numFmtId="10" fontId="82" fillId="7" borderId="75" xfId="4" applyNumberFormat="1" applyFont="1" applyFill="1" applyBorder="1" applyAlignment="1" applyProtection="1">
      <alignment horizontal="center" vertical="center"/>
      <protection hidden="1"/>
    </xf>
    <xf numFmtId="10" fontId="83" fillId="7" borderId="69" xfId="4" applyNumberFormat="1" applyFont="1" applyFill="1" applyBorder="1" applyAlignment="1" applyProtection="1">
      <alignment horizontal="center"/>
      <protection hidden="1"/>
    </xf>
    <xf numFmtId="10" fontId="83" fillId="7" borderId="73" xfId="4" applyNumberFormat="1" applyFont="1" applyFill="1" applyBorder="1" applyAlignment="1" applyProtection="1">
      <alignment horizontal="center"/>
      <protection hidden="1"/>
    </xf>
    <xf numFmtId="0" fontId="45" fillId="6" borderId="0" xfId="0" applyFont="1" applyFill="1" applyProtection="1">
      <protection hidden="1"/>
    </xf>
    <xf numFmtId="0" fontId="28" fillId="12" borderId="97" xfId="0" applyFont="1" applyFill="1" applyBorder="1" applyAlignment="1" applyProtection="1">
      <alignment horizontal="center"/>
      <protection hidden="1"/>
    </xf>
    <xf numFmtId="0" fontId="28" fillId="12" borderId="13" xfId="0" applyFont="1" applyFill="1" applyBorder="1" applyAlignment="1" applyProtection="1">
      <alignment horizontal="center"/>
      <protection hidden="1"/>
    </xf>
    <xf numFmtId="0" fontId="28" fillId="12" borderId="3" xfId="0" applyFont="1" applyFill="1" applyBorder="1" applyAlignment="1" applyProtection="1">
      <alignment horizontal="center"/>
      <protection hidden="1"/>
    </xf>
    <xf numFmtId="0" fontId="35" fillId="12" borderId="0" xfId="0" applyFont="1" applyFill="1" applyProtection="1">
      <protection hidden="1"/>
    </xf>
    <xf numFmtId="0" fontId="38" fillId="12" borderId="7" xfId="0" applyFont="1" applyFill="1" applyBorder="1" applyAlignment="1">
      <alignment vertical="center"/>
    </xf>
    <xf numFmtId="0" fontId="39" fillId="12" borderId="0" xfId="0" applyFont="1" applyFill="1" applyProtection="1">
      <protection hidden="1"/>
    </xf>
    <xf numFmtId="0" fontId="52" fillId="12" borderId="0" xfId="0" applyFont="1" applyFill="1" applyProtection="1">
      <protection hidden="1"/>
    </xf>
    <xf numFmtId="2" fontId="28" fillId="0" borderId="5" xfId="0" applyNumberFormat="1" applyFont="1" applyBorder="1" applyProtection="1">
      <protection hidden="1"/>
    </xf>
    <xf numFmtId="172" fontId="40" fillId="7" borderId="13" xfId="0" applyNumberFormat="1" applyFont="1" applyFill="1" applyBorder="1" applyAlignment="1" applyProtection="1">
      <alignment horizontal="right" indent="1"/>
      <protection hidden="1"/>
    </xf>
    <xf numFmtId="0" fontId="28" fillId="2" borderId="13" xfId="0" applyFont="1" applyFill="1" applyBorder="1" applyAlignment="1" applyProtection="1">
      <alignment horizontal="right"/>
      <protection hidden="1"/>
    </xf>
    <xf numFmtId="172" fontId="35" fillId="7" borderId="13" xfId="0" applyNumberFormat="1" applyFont="1" applyFill="1" applyBorder="1" applyAlignment="1" applyProtection="1">
      <alignment horizontal="right"/>
      <protection hidden="1"/>
    </xf>
    <xf numFmtId="172" fontId="40" fillId="7" borderId="13" xfId="0" applyNumberFormat="1" applyFont="1" applyFill="1" applyBorder="1" applyAlignment="1" applyProtection="1">
      <alignment horizontal="right"/>
      <protection hidden="1"/>
    </xf>
    <xf numFmtId="0" fontId="45" fillId="0" borderId="4" xfId="0" applyFont="1" applyBorder="1" applyProtection="1">
      <protection hidden="1"/>
    </xf>
    <xf numFmtId="0" fontId="28" fillId="2" borderId="31" xfId="0" applyFont="1" applyFill="1" applyBorder="1" applyAlignment="1" applyProtection="1">
      <alignment horizontal="left"/>
      <protection hidden="1"/>
    </xf>
    <xf numFmtId="168" fontId="28" fillId="3" borderId="14" xfId="1" applyNumberFormat="1" applyFont="1" applyFill="1" applyBorder="1" applyAlignment="1" applyProtection="1">
      <alignment horizontal="right" vertical="center"/>
      <protection locked="0"/>
    </xf>
    <xf numFmtId="168" fontId="35" fillId="7" borderId="42" xfId="1" applyNumberFormat="1" applyFont="1" applyFill="1" applyBorder="1" applyAlignment="1" applyProtection="1">
      <alignment horizontal="right" vertical="center"/>
      <protection hidden="1"/>
    </xf>
    <xf numFmtId="0" fontId="91" fillId="0" borderId="0" xfId="0" applyFont="1"/>
    <xf numFmtId="0" fontId="34" fillId="0" borderId="0" xfId="0" applyFont="1" applyAlignment="1" applyProtection="1">
      <alignment horizontal="left"/>
      <protection hidden="1"/>
    </xf>
    <xf numFmtId="0" fontId="28" fillId="2" borderId="24" xfId="0" applyFont="1" applyFill="1" applyBorder="1" applyAlignment="1" applyProtection="1">
      <alignment horizontal="center" wrapText="1"/>
      <protection hidden="1"/>
    </xf>
    <xf numFmtId="0" fontId="34" fillId="2" borderId="23" xfId="0" applyFont="1" applyFill="1" applyBorder="1" applyAlignment="1" applyProtection="1">
      <alignment horizontal="right" vertical="center"/>
      <protection hidden="1"/>
    </xf>
    <xf numFmtId="0" fontId="28" fillId="2" borderId="42" xfId="0" applyFont="1" applyFill="1" applyBorder="1" applyAlignment="1" applyProtection="1">
      <alignment horizontal="center"/>
      <protection hidden="1"/>
    </xf>
    <xf numFmtId="3" fontId="40" fillId="7" borderId="42" xfId="0" applyNumberFormat="1" applyFont="1" applyFill="1" applyBorder="1" applyAlignment="1" applyProtection="1">
      <alignment horizontal="center"/>
      <protection hidden="1"/>
    </xf>
    <xf numFmtId="0" fontId="34" fillId="2" borderId="24" xfId="0" applyFont="1" applyFill="1" applyBorder="1" applyAlignment="1" applyProtection="1">
      <alignment horizontal="left"/>
      <protection hidden="1"/>
    </xf>
    <xf numFmtId="0" fontId="28" fillId="2" borderId="8" xfId="0" applyFont="1" applyFill="1" applyBorder="1" applyAlignment="1" applyProtection="1">
      <alignment vertical="center"/>
      <protection hidden="1"/>
    </xf>
    <xf numFmtId="0" fontId="28" fillId="2" borderId="24" xfId="0" applyFont="1" applyFill="1" applyBorder="1" applyAlignment="1" applyProtection="1">
      <alignment horizontal="center" vertical="center" wrapText="1"/>
      <protection hidden="1"/>
    </xf>
    <xf numFmtId="0" fontId="28" fillId="2" borderId="1" xfId="0" applyFont="1" applyFill="1" applyBorder="1" applyAlignment="1" applyProtection="1">
      <alignment horizontal="left" vertical="center"/>
      <protection hidden="1"/>
    </xf>
    <xf numFmtId="0" fontId="28" fillId="2" borderId="2" xfId="0" applyFont="1" applyFill="1" applyBorder="1" applyAlignment="1" applyProtection="1">
      <alignment horizontal="center"/>
      <protection hidden="1"/>
    </xf>
    <xf numFmtId="0" fontId="48" fillId="2" borderId="3" xfId="0" applyFont="1" applyFill="1" applyBorder="1" applyAlignment="1" applyProtection="1">
      <alignment horizontal="center"/>
      <protection hidden="1"/>
    </xf>
    <xf numFmtId="0" fontId="28" fillId="2" borderId="6" xfId="0" applyFont="1" applyFill="1" applyBorder="1" applyAlignment="1" applyProtection="1">
      <alignment horizontal="left" vertical="center"/>
      <protection hidden="1"/>
    </xf>
    <xf numFmtId="0" fontId="28" fillId="2" borderId="7" xfId="0" applyFont="1" applyFill="1" applyBorder="1" applyAlignment="1" applyProtection="1">
      <alignment horizontal="center"/>
      <protection hidden="1"/>
    </xf>
    <xf numFmtId="0" fontId="48" fillId="2" borderId="8" xfId="0" applyFont="1" applyFill="1" applyBorder="1" applyAlignment="1" applyProtection="1">
      <alignment horizontal="center"/>
      <protection hidden="1"/>
    </xf>
    <xf numFmtId="0" fontId="92" fillId="0" borderId="0" xfId="0" applyFont="1" applyProtection="1">
      <protection hidden="1"/>
    </xf>
    <xf numFmtId="10" fontId="40" fillId="3" borderId="15" xfId="3" applyNumberFormat="1" applyFont="1" applyFill="1" applyBorder="1" applyAlignment="1" applyProtection="1">
      <alignment horizontal="right" vertical="center"/>
      <protection locked="0"/>
    </xf>
    <xf numFmtId="0" fontId="40" fillId="14" borderId="23" xfId="0" applyFont="1" applyFill="1" applyBorder="1" applyAlignment="1">
      <alignment horizontal="center" wrapText="1"/>
    </xf>
    <xf numFmtId="0" fontId="40" fillId="14" borderId="19" xfId="0" applyFont="1" applyFill="1" applyBorder="1" applyAlignment="1">
      <alignment horizontal="center" wrapText="1"/>
    </xf>
    <xf numFmtId="0" fontId="41" fillId="14" borderId="19" xfId="0" applyFont="1" applyFill="1" applyBorder="1" applyAlignment="1">
      <alignment horizontal="center"/>
    </xf>
    <xf numFmtId="0" fontId="40" fillId="14" borderId="24" xfId="0" applyFont="1" applyFill="1" applyBorder="1" applyAlignment="1">
      <alignment horizontal="center"/>
    </xf>
    <xf numFmtId="0" fontId="40" fillId="15" borderId="23" xfId="0" applyFont="1" applyFill="1" applyBorder="1" applyAlignment="1">
      <alignment horizontal="center" wrapText="1"/>
    </xf>
    <xf numFmtId="0" fontId="0" fillId="0" borderId="0" xfId="0" applyAlignment="1" applyProtection="1">
      <alignment horizontal="center" vertical="center"/>
      <protection hidden="1"/>
    </xf>
    <xf numFmtId="0" fontId="91" fillId="0" borderId="0" xfId="0" applyFont="1" applyProtection="1">
      <protection hidden="1"/>
    </xf>
    <xf numFmtId="0" fontId="92" fillId="0" borderId="0" xfId="0" applyFont="1" applyAlignment="1" applyProtection="1">
      <alignment vertical="center"/>
      <protection hidden="1"/>
    </xf>
    <xf numFmtId="0" fontId="28" fillId="0" borderId="0" xfId="0" applyFont="1" applyAlignment="1" applyProtection="1">
      <alignment horizontal="right" vertical="center"/>
      <protection hidden="1"/>
    </xf>
    <xf numFmtId="0" fontId="92" fillId="0" borderId="0" xfId="0" applyFont="1" applyAlignment="1">
      <alignment horizontal="left" vertical="top"/>
    </xf>
    <xf numFmtId="0" fontId="40" fillId="10" borderId="0" xfId="0" applyFont="1" applyFill="1" applyProtection="1">
      <protection hidden="1"/>
    </xf>
    <xf numFmtId="0" fontId="40" fillId="10" borderId="0" xfId="0" applyFont="1" applyFill="1" applyAlignment="1" applyProtection="1">
      <alignment vertical="center"/>
      <protection hidden="1"/>
    </xf>
    <xf numFmtId="168" fontId="40" fillId="10" borderId="0" xfId="0" applyNumberFormat="1" applyFont="1" applyFill="1" applyAlignment="1" applyProtection="1">
      <alignment vertical="center"/>
      <protection hidden="1"/>
    </xf>
    <xf numFmtId="0" fontId="28" fillId="10" borderId="0" xfId="0" applyFont="1" applyFill="1" applyAlignment="1" applyProtection="1">
      <alignment vertical="center"/>
      <protection hidden="1"/>
    </xf>
    <xf numFmtId="165" fontId="40" fillId="7" borderId="40" xfId="0" applyNumberFormat="1" applyFont="1" applyFill="1" applyBorder="1" applyAlignment="1" applyProtection="1">
      <alignment vertical="center"/>
      <protection hidden="1"/>
    </xf>
    <xf numFmtId="0" fontId="28" fillId="10" borderId="0" xfId="0" applyFont="1" applyFill="1" applyProtection="1">
      <protection hidden="1"/>
    </xf>
    <xf numFmtId="165" fontId="28" fillId="7" borderId="14" xfId="1" applyNumberFormat="1" applyFont="1" applyFill="1" applyBorder="1" applyAlignment="1" applyProtection="1">
      <alignment horizontal="right" vertical="center"/>
      <protection hidden="1"/>
    </xf>
    <xf numFmtId="165" fontId="35" fillId="7" borderId="42" xfId="1" applyNumberFormat="1" applyFont="1" applyFill="1" applyBorder="1" applyAlignment="1" applyProtection="1">
      <alignment horizontal="right" vertical="center"/>
      <protection hidden="1"/>
    </xf>
    <xf numFmtId="0" fontId="91" fillId="0" borderId="0" xfId="0" applyFont="1" applyAlignment="1" applyProtection="1">
      <alignment vertical="center"/>
      <protection hidden="1"/>
    </xf>
    <xf numFmtId="0" fontId="56" fillId="0" borderId="0" xfId="0" applyFont="1" applyAlignment="1" applyProtection="1">
      <alignment horizontal="right" vertical="center"/>
      <protection hidden="1"/>
    </xf>
    <xf numFmtId="169" fontId="35" fillId="7" borderId="34" xfId="0" applyNumberFormat="1" applyFont="1" applyFill="1" applyBorder="1" applyAlignment="1" applyProtection="1">
      <alignment vertical="center"/>
      <protection hidden="1"/>
    </xf>
    <xf numFmtId="170" fontId="35" fillId="7" borderId="34" xfId="1" applyNumberFormat="1" applyFont="1" applyFill="1" applyBorder="1" applyAlignment="1" applyProtection="1">
      <alignment vertical="center"/>
      <protection hidden="1"/>
    </xf>
    <xf numFmtId="0" fontId="0" fillId="16" borderId="0" xfId="0" applyFill="1" applyProtection="1">
      <protection hidden="1"/>
    </xf>
    <xf numFmtId="0" fontId="94" fillId="16" borderId="0" xfId="0" applyFont="1" applyFill="1" applyProtection="1">
      <protection hidden="1"/>
    </xf>
    <xf numFmtId="0" fontId="94" fillId="12" borderId="97" xfId="0" applyFont="1" applyFill="1" applyBorder="1" applyAlignment="1" applyProtection="1">
      <alignment horizontal="center"/>
      <protection hidden="1"/>
    </xf>
    <xf numFmtId="0" fontId="94" fillId="12" borderId="62" xfId="0" applyFont="1" applyFill="1" applyBorder="1" applyAlignment="1" applyProtection="1">
      <alignment horizontal="center"/>
      <protection hidden="1"/>
    </xf>
    <xf numFmtId="0" fontId="94" fillId="12" borderId="13" xfId="0" applyFont="1" applyFill="1" applyBorder="1" applyAlignment="1" applyProtection="1">
      <alignment horizontal="center"/>
      <protection hidden="1"/>
    </xf>
    <xf numFmtId="0" fontId="94" fillId="7" borderId="14" xfId="0" applyFont="1" applyFill="1" applyBorder="1" applyAlignment="1" applyProtection="1">
      <alignment horizontal="center"/>
      <protection hidden="1"/>
    </xf>
    <xf numFmtId="0" fontId="94" fillId="16" borderId="89" xfId="0" applyFont="1" applyFill="1" applyBorder="1" applyProtection="1">
      <protection hidden="1"/>
    </xf>
    <xf numFmtId="0" fontId="94" fillId="16" borderId="88" xfId="0" applyFont="1" applyFill="1" applyBorder="1" applyProtection="1">
      <protection hidden="1"/>
    </xf>
    <xf numFmtId="0" fontId="94" fillId="16" borderId="90" xfId="0" applyFont="1" applyFill="1" applyBorder="1" applyProtection="1">
      <protection hidden="1"/>
    </xf>
    <xf numFmtId="0" fontId="94" fillId="16" borderId="92" xfId="0" applyFont="1" applyFill="1" applyBorder="1" applyProtection="1">
      <protection hidden="1"/>
    </xf>
    <xf numFmtId="0" fontId="94" fillId="16" borderId="93" xfId="0" applyFont="1" applyFill="1" applyBorder="1" applyProtection="1">
      <protection hidden="1"/>
    </xf>
    <xf numFmtId="0" fontId="94" fillId="16" borderId="94" xfId="0" applyFont="1" applyFill="1" applyBorder="1" applyProtection="1">
      <protection hidden="1"/>
    </xf>
    <xf numFmtId="0" fontId="94" fillId="12" borderId="3" xfId="0" applyFont="1" applyFill="1" applyBorder="1" applyAlignment="1" applyProtection="1">
      <alignment horizontal="center"/>
      <protection hidden="1"/>
    </xf>
    <xf numFmtId="0" fontId="94" fillId="7" borderId="23" xfId="0" applyFont="1" applyFill="1" applyBorder="1" applyAlignment="1" applyProtection="1">
      <alignment horizontal="center"/>
      <protection hidden="1"/>
    </xf>
    <xf numFmtId="0" fontId="95" fillId="16" borderId="0" xfId="0" applyFont="1" applyFill="1" applyProtection="1">
      <protection hidden="1"/>
    </xf>
    <xf numFmtId="0" fontId="94" fillId="16" borderId="24" xfId="0" applyFont="1" applyFill="1" applyBorder="1" applyProtection="1">
      <protection hidden="1"/>
    </xf>
    <xf numFmtId="0" fontId="94" fillId="16" borderId="7" xfId="0" applyFont="1" applyFill="1" applyBorder="1" applyProtection="1">
      <protection hidden="1"/>
    </xf>
    <xf numFmtId="0" fontId="94" fillId="16" borderId="24" xfId="0" applyFont="1" applyFill="1" applyBorder="1" applyAlignment="1" applyProtection="1">
      <alignment horizontal="center"/>
      <protection hidden="1"/>
    </xf>
    <xf numFmtId="0" fontId="94" fillId="16" borderId="7" xfId="0" applyFont="1" applyFill="1" applyBorder="1" applyAlignment="1" applyProtection="1">
      <alignment horizontal="center"/>
      <protection hidden="1"/>
    </xf>
    <xf numFmtId="0" fontId="94" fillId="16" borderId="19" xfId="0" applyFont="1" applyFill="1" applyBorder="1" applyProtection="1">
      <protection hidden="1"/>
    </xf>
    <xf numFmtId="0" fontId="94" fillId="0" borderId="0" xfId="0" applyFont="1" applyProtection="1">
      <protection hidden="1"/>
    </xf>
    <xf numFmtId="0" fontId="94" fillId="0" borderId="19" xfId="0" applyFont="1" applyBorder="1" applyProtection="1">
      <protection hidden="1"/>
    </xf>
    <xf numFmtId="0" fontId="94" fillId="16" borderId="0" xfId="0" applyFont="1" applyFill="1" applyAlignment="1" applyProtection="1">
      <alignment horizontal="center"/>
      <protection hidden="1"/>
    </xf>
    <xf numFmtId="0" fontId="94" fillId="6" borderId="19" xfId="0" applyFont="1" applyFill="1" applyBorder="1" applyProtection="1">
      <protection hidden="1"/>
    </xf>
    <xf numFmtId="0" fontId="96" fillId="16" borderId="0" xfId="0" applyFont="1" applyFill="1" applyProtection="1">
      <protection hidden="1"/>
    </xf>
    <xf numFmtId="0" fontId="94" fillId="16" borderId="45" xfId="0" applyFont="1" applyFill="1" applyBorder="1" applyProtection="1">
      <protection hidden="1"/>
    </xf>
    <xf numFmtId="0" fontId="94" fillId="7" borderId="62" xfId="0" applyFont="1" applyFill="1" applyBorder="1" applyProtection="1">
      <protection hidden="1"/>
    </xf>
    <xf numFmtId="0" fontId="97" fillId="16" borderId="0" xfId="0" applyFont="1" applyFill="1" applyProtection="1">
      <protection hidden="1"/>
    </xf>
    <xf numFmtId="165" fontId="34" fillId="7" borderId="15" xfId="0" applyNumberFormat="1" applyFont="1" applyFill="1" applyBorder="1" applyAlignment="1" applyProtection="1">
      <alignment horizontal="right" indent="1"/>
      <protection hidden="1"/>
    </xf>
    <xf numFmtId="0" fontId="95" fillId="7" borderId="19" xfId="0" applyFont="1" applyFill="1" applyBorder="1" applyProtection="1">
      <protection hidden="1"/>
    </xf>
    <xf numFmtId="0" fontId="98" fillId="16" borderId="0" xfId="0" applyFont="1" applyFill="1" applyProtection="1">
      <protection hidden="1"/>
    </xf>
    <xf numFmtId="0" fontId="99" fillId="16" borderId="0" xfId="0" applyFont="1" applyFill="1" applyProtection="1">
      <protection hidden="1"/>
    </xf>
    <xf numFmtId="10" fontId="54" fillId="9" borderId="100" xfId="0" applyNumberFormat="1" applyFont="1" applyFill="1" applyBorder="1" applyAlignment="1" applyProtection="1">
      <alignment horizontal="center"/>
      <protection hidden="1"/>
    </xf>
    <xf numFmtId="0" fontId="28" fillId="9" borderId="100" xfId="0" applyFont="1" applyFill="1" applyBorder="1" applyProtection="1">
      <protection hidden="1"/>
    </xf>
    <xf numFmtId="2" fontId="54" fillId="9" borderId="100" xfId="0" applyNumberFormat="1" applyFont="1" applyFill="1" applyBorder="1" applyAlignment="1" applyProtection="1">
      <alignment horizontal="center"/>
      <protection hidden="1"/>
    </xf>
    <xf numFmtId="0" fontId="94" fillId="12" borderId="24" xfId="0" applyFont="1" applyFill="1" applyBorder="1" applyAlignment="1" applyProtection="1">
      <alignment horizontal="center"/>
      <protection hidden="1"/>
    </xf>
    <xf numFmtId="2" fontId="94" fillId="7" borderId="19" xfId="0" applyNumberFormat="1" applyFont="1" applyFill="1" applyBorder="1" applyAlignment="1" applyProtection="1">
      <alignment horizontal="center"/>
      <protection hidden="1"/>
    </xf>
    <xf numFmtId="0" fontId="94" fillId="12" borderId="0" xfId="0" applyFont="1" applyFill="1" applyProtection="1">
      <protection hidden="1"/>
    </xf>
    <xf numFmtId="0" fontId="96" fillId="0" borderId="7" xfId="0" applyFont="1" applyBorder="1" applyProtection="1">
      <protection hidden="1"/>
    </xf>
    <xf numFmtId="0" fontId="96" fillId="0" borderId="0" xfId="0" applyFont="1" applyProtection="1">
      <protection hidden="1"/>
    </xf>
    <xf numFmtId="2" fontId="54" fillId="9" borderId="101" xfId="0" applyNumberFormat="1" applyFont="1" applyFill="1" applyBorder="1" applyAlignment="1" applyProtection="1">
      <alignment horizontal="center"/>
      <protection hidden="1"/>
    </xf>
    <xf numFmtId="0" fontId="28" fillId="9" borderId="102" xfId="0" applyFont="1" applyFill="1" applyBorder="1" applyProtection="1">
      <protection hidden="1"/>
    </xf>
    <xf numFmtId="2" fontId="35" fillId="9" borderId="103" xfId="0" applyNumberFormat="1" applyFont="1" applyFill="1" applyBorder="1" applyAlignment="1" applyProtection="1">
      <alignment horizontal="left"/>
      <protection hidden="1"/>
    </xf>
    <xf numFmtId="10" fontId="54" fillId="9" borderId="104" xfId="0" applyNumberFormat="1" applyFont="1" applyFill="1" applyBorder="1" applyAlignment="1" applyProtection="1">
      <alignment horizontal="center"/>
      <protection hidden="1"/>
    </xf>
    <xf numFmtId="0" fontId="99" fillId="9" borderId="106" xfId="0" applyFont="1" applyFill="1" applyBorder="1" applyAlignment="1" applyProtection="1">
      <alignment horizontal="left"/>
      <protection hidden="1"/>
    </xf>
    <xf numFmtId="2" fontId="99" fillId="9" borderId="107" xfId="0" applyNumberFormat="1" applyFont="1" applyFill="1" applyBorder="1" applyAlignment="1" applyProtection="1">
      <alignment horizontal="center"/>
      <protection hidden="1"/>
    </xf>
    <xf numFmtId="0" fontId="99" fillId="9" borderId="108" xfId="0" applyFont="1" applyFill="1" applyBorder="1" applyProtection="1">
      <protection hidden="1"/>
    </xf>
    <xf numFmtId="2" fontId="99" fillId="9" borderId="108" xfId="0" applyNumberFormat="1" applyFont="1" applyFill="1" applyBorder="1" applyAlignment="1" applyProtection="1">
      <alignment horizontal="center"/>
      <protection hidden="1"/>
    </xf>
    <xf numFmtId="0" fontId="99" fillId="9" borderId="109" xfId="0" applyFont="1" applyFill="1" applyBorder="1" applyProtection="1">
      <protection hidden="1"/>
    </xf>
    <xf numFmtId="0" fontId="99" fillId="9" borderId="110" xfId="0" applyFont="1" applyFill="1" applyBorder="1" applyProtection="1">
      <protection hidden="1"/>
    </xf>
    <xf numFmtId="9" fontId="100" fillId="17" borderId="104" xfId="4" applyFont="1" applyFill="1" applyBorder="1" applyProtection="1">
      <protection hidden="1"/>
    </xf>
    <xf numFmtId="9" fontId="100" fillId="17" borderId="105" xfId="4" applyFont="1" applyFill="1" applyBorder="1" applyProtection="1">
      <protection hidden="1"/>
    </xf>
    <xf numFmtId="9" fontId="100" fillId="17" borderId="104" xfId="4" applyFont="1" applyFill="1" applyBorder="1" applyAlignment="1" applyProtection="1">
      <alignment horizontal="center"/>
      <protection hidden="1"/>
    </xf>
    <xf numFmtId="0" fontId="94" fillId="18" borderId="0" xfId="0" applyFont="1" applyFill="1" applyProtection="1">
      <protection hidden="1"/>
    </xf>
    <xf numFmtId="0" fontId="94" fillId="18" borderId="19" xfId="0" applyFont="1" applyFill="1" applyBorder="1" applyProtection="1">
      <protection hidden="1"/>
    </xf>
    <xf numFmtId="0" fontId="94" fillId="18" borderId="14" xfId="0" applyFont="1" applyFill="1" applyBorder="1" applyAlignment="1" applyProtection="1">
      <alignment horizontal="center"/>
      <protection hidden="1"/>
    </xf>
    <xf numFmtId="0" fontId="101" fillId="16" borderId="0" xfId="0" applyFont="1" applyFill="1" applyProtection="1">
      <protection hidden="1"/>
    </xf>
    <xf numFmtId="0" fontId="102" fillId="16" borderId="0" xfId="0" applyFont="1" applyFill="1" applyProtection="1">
      <protection hidden="1"/>
    </xf>
    <xf numFmtId="0" fontId="95" fillId="16" borderId="98" xfId="0" applyFont="1" applyFill="1" applyBorder="1" applyProtection="1">
      <protection hidden="1"/>
    </xf>
    <xf numFmtId="0" fontId="94" fillId="9" borderId="0" xfId="0" applyFont="1" applyFill="1" applyProtection="1">
      <protection hidden="1"/>
    </xf>
    <xf numFmtId="14" fontId="96" fillId="9" borderId="4" xfId="0" applyNumberFormat="1" applyFont="1" applyFill="1" applyBorder="1"/>
    <xf numFmtId="0" fontId="50" fillId="0" borderId="0" xfId="0" applyFont="1" applyProtection="1">
      <protection hidden="1"/>
    </xf>
    <xf numFmtId="0" fontId="56" fillId="0" borderId="0" xfId="0" applyFont="1" applyAlignment="1" applyProtection="1">
      <alignment vertical="center"/>
      <protection hidden="1"/>
    </xf>
    <xf numFmtId="10" fontId="28" fillId="3" borderId="14" xfId="1" applyNumberFormat="1" applyFont="1" applyFill="1" applyBorder="1" applyAlignment="1" applyProtection="1">
      <alignment horizontal="right" vertical="center"/>
      <protection locked="0"/>
    </xf>
    <xf numFmtId="0" fontId="62" fillId="0" borderId="0" xfId="0" applyFont="1" applyAlignment="1">
      <alignment vertical="center"/>
    </xf>
    <xf numFmtId="0" fontId="77" fillId="0" borderId="0" xfId="0" applyFont="1" applyAlignment="1">
      <alignment vertical="center"/>
    </xf>
    <xf numFmtId="0" fontId="103" fillId="0" borderId="0" xfId="0" applyFont="1" applyAlignment="1">
      <alignment vertical="center"/>
    </xf>
    <xf numFmtId="0" fontId="35" fillId="13" borderId="88" xfId="0" applyFont="1" applyFill="1" applyBorder="1"/>
    <xf numFmtId="0" fontId="40" fillId="13" borderId="88" xfId="0" applyFont="1" applyFill="1" applyBorder="1" applyAlignment="1">
      <alignment vertical="center"/>
    </xf>
    <xf numFmtId="0" fontId="28" fillId="13" borderId="90" xfId="0" applyFont="1" applyFill="1" applyBorder="1"/>
    <xf numFmtId="0" fontId="40" fillId="13" borderId="52" xfId="0" applyFont="1" applyFill="1" applyBorder="1" applyAlignment="1">
      <alignment vertical="center"/>
    </xf>
    <xf numFmtId="0" fontId="40" fillId="13" borderId="0" xfId="0" applyFont="1" applyFill="1" applyAlignment="1">
      <alignment vertical="center"/>
    </xf>
    <xf numFmtId="0" fontId="28" fillId="13" borderId="51" xfId="0" applyFont="1" applyFill="1" applyBorder="1"/>
    <xf numFmtId="0" fontId="35" fillId="13" borderId="52" xfId="0" applyFont="1" applyFill="1" applyBorder="1" applyAlignment="1">
      <alignment vertical="center"/>
    </xf>
    <xf numFmtId="0" fontId="28" fillId="13" borderId="0" xfId="0" applyFont="1" applyFill="1"/>
    <xf numFmtId="49" fontId="104" fillId="13" borderId="0" xfId="0" applyNumberFormat="1" applyFont="1" applyFill="1" applyAlignment="1">
      <alignment horizontal="center" vertical="center"/>
    </xf>
    <xf numFmtId="49" fontId="35" fillId="18" borderId="23" xfId="0" applyNumberFormat="1" applyFont="1" applyFill="1" applyBorder="1" applyAlignment="1" applyProtection="1">
      <alignment horizontal="center" vertical="center"/>
      <protection locked="0"/>
    </xf>
    <xf numFmtId="14" fontId="35" fillId="18" borderId="14" xfId="0" applyNumberFormat="1" applyFont="1" applyFill="1" applyBorder="1" applyAlignment="1" applyProtection="1">
      <alignment vertical="center"/>
      <protection locked="0"/>
    </xf>
    <xf numFmtId="0" fontId="35" fillId="13" borderId="0" xfId="0" applyFont="1" applyFill="1" applyAlignment="1">
      <alignment vertical="center"/>
    </xf>
    <xf numFmtId="49" fontId="35" fillId="13" borderId="0" xfId="0" applyNumberFormat="1" applyFont="1" applyFill="1" applyAlignment="1">
      <alignment horizontal="left" vertical="center"/>
    </xf>
    <xf numFmtId="49" fontId="35" fillId="13" borderId="0" xfId="0" applyNumberFormat="1" applyFont="1" applyFill="1" applyAlignment="1">
      <alignment horizontal="center" vertical="center"/>
    </xf>
    <xf numFmtId="0" fontId="33" fillId="13" borderId="0" xfId="5" applyFont="1" applyFill="1" applyBorder="1" applyAlignment="1" applyProtection="1"/>
    <xf numFmtId="0" fontId="35" fillId="13" borderId="0" xfId="0" applyFont="1" applyFill="1" applyAlignment="1">
      <alignment horizontal="right"/>
    </xf>
    <xf numFmtId="14" fontId="33" fillId="13" borderId="0" xfId="5" applyNumberFormat="1" applyFont="1" applyFill="1" applyBorder="1" applyProtection="1"/>
    <xf numFmtId="0" fontId="35" fillId="18" borderId="14" xfId="0" applyFont="1" applyFill="1" applyBorder="1" applyAlignment="1" applyProtection="1">
      <alignment vertical="center"/>
      <protection locked="0"/>
    </xf>
    <xf numFmtId="0" fontId="35" fillId="13" borderId="1" xfId="0" applyFont="1" applyFill="1" applyBorder="1" applyAlignment="1">
      <alignment vertical="center"/>
    </xf>
    <xf numFmtId="0" fontId="35" fillId="13" borderId="2" xfId="0" applyFont="1" applyFill="1" applyBorder="1" applyAlignment="1">
      <alignment vertical="center"/>
    </xf>
    <xf numFmtId="0" fontId="28" fillId="13" borderId="57" xfId="0" applyFont="1" applyFill="1" applyBorder="1"/>
    <xf numFmtId="0" fontId="35" fillId="13" borderId="4" xfId="0" applyFont="1" applyFill="1" applyBorder="1" applyAlignment="1">
      <alignment vertical="center"/>
    </xf>
    <xf numFmtId="0" fontId="35" fillId="18" borderId="12" xfId="0" applyFont="1" applyFill="1" applyBorder="1" applyAlignment="1" applyProtection="1">
      <alignment vertical="center"/>
      <protection locked="0"/>
    </xf>
    <xf numFmtId="0" fontId="28" fillId="18" borderId="57" xfId="0" applyFont="1" applyFill="1" applyBorder="1" applyProtection="1">
      <protection locked="0"/>
    </xf>
    <xf numFmtId="0" fontId="35" fillId="13" borderId="6" xfId="0" applyFont="1" applyFill="1" applyBorder="1" applyAlignment="1">
      <alignment vertical="center"/>
    </xf>
    <xf numFmtId="0" fontId="40" fillId="13" borderId="92" xfId="0" applyFont="1" applyFill="1" applyBorder="1" applyAlignment="1">
      <alignment vertical="center"/>
    </xf>
    <xf numFmtId="0" fontId="40" fillId="13" borderId="93" xfId="0" applyFont="1" applyFill="1" applyBorder="1" applyAlignment="1">
      <alignment vertical="center"/>
    </xf>
    <xf numFmtId="0" fontId="28" fillId="13" borderId="94" xfId="0" applyFont="1" applyFill="1" applyBorder="1"/>
    <xf numFmtId="0" fontId="34" fillId="0" borderId="9" xfId="0" applyFont="1" applyBorder="1"/>
    <xf numFmtId="4" fontId="28" fillId="0" borderId="63" xfId="0" applyNumberFormat="1" applyFont="1" applyBorder="1" applyAlignment="1">
      <alignment horizontal="center"/>
    </xf>
    <xf numFmtId="4" fontId="28" fillId="18" borderId="24" xfId="0" applyNumberFormat="1" applyFont="1" applyFill="1" applyBorder="1" applyAlignment="1" applyProtection="1">
      <alignment horizontal="center"/>
      <protection locked="0"/>
    </xf>
    <xf numFmtId="4" fontId="28" fillId="0" borderId="24" xfId="0" applyNumberFormat="1" applyFont="1" applyBorder="1" applyAlignment="1">
      <alignment horizontal="center"/>
    </xf>
    <xf numFmtId="4" fontId="28" fillId="0" borderId="57" xfId="0" applyNumberFormat="1" applyFont="1" applyBorder="1" applyAlignment="1">
      <alignment horizontal="center"/>
    </xf>
    <xf numFmtId="0" fontId="28" fillId="18" borderId="13" xfId="0" applyFont="1" applyFill="1" applyBorder="1" applyAlignment="1" applyProtection="1">
      <alignment horizontal="center"/>
      <protection locked="0"/>
    </xf>
    <xf numFmtId="4" fontId="28" fillId="18" borderId="14" xfId="0" applyNumberFormat="1" applyFont="1" applyFill="1" applyBorder="1" applyAlignment="1" applyProtection="1">
      <alignment horizontal="center"/>
      <protection locked="0"/>
    </xf>
    <xf numFmtId="0" fontId="28" fillId="18" borderId="3" xfId="0" applyFont="1" applyFill="1" applyBorder="1" applyAlignment="1" applyProtection="1">
      <alignment horizontal="center"/>
      <protection locked="0"/>
    </xf>
    <xf numFmtId="4" fontId="28" fillId="18" borderId="23" xfId="0" applyNumberFormat="1" applyFont="1" applyFill="1" applyBorder="1" applyAlignment="1" applyProtection="1">
      <alignment horizontal="center"/>
      <protection locked="0"/>
    </xf>
    <xf numFmtId="4" fontId="28" fillId="0" borderId="113" xfId="0" applyNumberFormat="1" applyFont="1" applyBorder="1" applyAlignment="1">
      <alignment horizontal="center"/>
    </xf>
    <xf numFmtId="0" fontId="28" fillId="0" borderId="9" xfId="0" applyFont="1" applyBorder="1" applyAlignment="1">
      <alignment horizontal="left"/>
    </xf>
    <xf numFmtId="4" fontId="34" fillId="0" borderId="34" xfId="0" applyNumberFormat="1" applyFont="1" applyBorder="1" applyAlignment="1">
      <alignment horizontal="center"/>
    </xf>
    <xf numFmtId="4" fontId="34" fillId="0" borderId="112" xfId="0" applyNumberFormat="1" applyFont="1" applyBorder="1" applyAlignment="1">
      <alignment horizontal="center"/>
    </xf>
    <xf numFmtId="4" fontId="34" fillId="6" borderId="15" xfId="0" applyNumberFormat="1" applyFont="1" applyFill="1" applyBorder="1" applyAlignment="1">
      <alignment horizontal="center"/>
    </xf>
    <xf numFmtId="4" fontId="28" fillId="23" borderId="9" xfId="0" applyNumberFormat="1" applyFont="1" applyFill="1" applyBorder="1" applyAlignment="1">
      <alignment horizontal="center"/>
    </xf>
    <xf numFmtId="4" fontId="34" fillId="23" borderId="15" xfId="0" applyNumberFormat="1" applyFont="1" applyFill="1" applyBorder="1" applyAlignment="1">
      <alignment horizontal="center"/>
    </xf>
    <xf numFmtId="0" fontId="28" fillId="0" borderId="0" xfId="0" applyFont="1" applyAlignment="1">
      <alignment horizontal="center"/>
    </xf>
    <xf numFmtId="4" fontId="34" fillId="0" borderId="0" xfId="8" applyNumberFormat="1" applyFont="1" applyBorder="1" applyAlignment="1" applyProtection="1">
      <alignment horizontal="center"/>
    </xf>
    <xf numFmtId="4" fontId="28" fillId="18" borderId="13" xfId="0" applyNumberFormat="1" applyFont="1" applyFill="1" applyBorder="1" applyAlignment="1" applyProtection="1">
      <alignment horizontal="center"/>
      <protection locked="0"/>
    </xf>
    <xf numFmtId="4" fontId="28" fillId="0" borderId="14" xfId="0" applyNumberFormat="1" applyFont="1" applyBorder="1" applyAlignment="1">
      <alignment horizontal="center"/>
    </xf>
    <xf numFmtId="0" fontId="28" fillId="0" borderId="92" xfId="0" applyFont="1" applyBorder="1"/>
    <xf numFmtId="4" fontId="34" fillId="0" borderId="93" xfId="0" applyNumberFormat="1" applyFont="1" applyBorder="1" applyAlignment="1">
      <alignment horizontal="center"/>
    </xf>
    <xf numFmtId="4" fontId="34" fillId="0" borderId="10" xfId="0" applyNumberFormat="1" applyFont="1" applyBorder="1"/>
    <xf numFmtId="0" fontId="34" fillId="6" borderId="11" xfId="0" applyFont="1" applyFill="1" applyBorder="1"/>
    <xf numFmtId="0" fontId="34" fillId="6" borderId="0" xfId="0" applyFont="1" applyFill="1"/>
    <xf numFmtId="0" fontId="28" fillId="6" borderId="0" xfId="0" applyFont="1" applyFill="1"/>
    <xf numFmtId="0" fontId="28" fillId="0" borderId="11" xfId="0" applyFont="1" applyBorder="1"/>
    <xf numFmtId="0" fontId="28" fillId="0" borderId="10" xfId="0" applyFont="1" applyBorder="1"/>
    <xf numFmtId="0" fontId="34" fillId="6" borderId="88" xfId="0" applyFont="1" applyFill="1" applyBorder="1"/>
    <xf numFmtId="4" fontId="28" fillId="6" borderId="10" xfId="0" applyNumberFormat="1" applyFont="1" applyFill="1" applyBorder="1" applyAlignment="1">
      <alignment horizontal="center"/>
    </xf>
    <xf numFmtId="4" fontId="34" fillId="23" borderId="11" xfId="0" applyNumberFormat="1" applyFont="1" applyFill="1" applyBorder="1" applyAlignment="1">
      <alignment horizontal="center"/>
    </xf>
    <xf numFmtId="0" fontId="34" fillId="0" borderId="10" xfId="0" applyFont="1" applyBorder="1"/>
    <xf numFmtId="2" fontId="34" fillId="23" borderId="15" xfId="0" applyNumberFormat="1" applyFont="1" applyFill="1" applyBorder="1" applyAlignment="1">
      <alignment horizontal="center"/>
    </xf>
    <xf numFmtId="4" fontId="28" fillId="0" borderId="15" xfId="0" applyNumberFormat="1" applyFont="1" applyBorder="1" applyAlignment="1">
      <alignment horizontal="center"/>
    </xf>
    <xf numFmtId="2" fontId="34" fillId="0" borderId="0" xfId="0" applyNumberFormat="1" applyFont="1" applyAlignment="1">
      <alignment horizontal="center"/>
    </xf>
    <xf numFmtId="0" fontId="34" fillId="0" borderId="9" xfId="0" applyFont="1" applyBorder="1" applyAlignment="1">
      <alignment horizontal="center"/>
    </xf>
    <xf numFmtId="0" fontId="28" fillId="0" borderId="11" xfId="0" applyFont="1" applyBorder="1" applyAlignment="1">
      <alignment horizontal="center"/>
    </xf>
    <xf numFmtId="4" fontId="34" fillId="0" borderId="93" xfId="0" applyNumberFormat="1" applyFont="1" applyBorder="1"/>
    <xf numFmtId="0" fontId="34" fillId="6" borderId="94" xfId="0" applyFont="1" applyFill="1" applyBorder="1"/>
    <xf numFmtId="0" fontId="28" fillId="0" borderId="63" xfId="0" applyFont="1" applyBorder="1" applyAlignment="1">
      <alignment horizontal="center"/>
    </xf>
    <xf numFmtId="0" fontId="28" fillId="0" borderId="57" xfId="0" applyFont="1" applyBorder="1" applyAlignment="1">
      <alignment horizontal="center"/>
    </xf>
    <xf numFmtId="4" fontId="34" fillId="0" borderId="9" xfId="0" applyNumberFormat="1" applyFont="1" applyBorder="1"/>
    <xf numFmtId="0" fontId="34" fillId="24" borderId="116" xfId="0" applyFont="1" applyFill="1" applyBorder="1"/>
    <xf numFmtId="4" fontId="28" fillId="24" borderId="71" xfId="0" applyNumberFormat="1" applyFont="1" applyFill="1" applyBorder="1" applyAlignment="1" applyProtection="1">
      <alignment horizontal="center"/>
      <protection hidden="1"/>
    </xf>
    <xf numFmtId="4" fontId="28" fillId="24" borderId="0" xfId="0" applyNumberFormat="1" applyFont="1" applyFill="1" applyAlignment="1">
      <alignment horizontal="center"/>
    </xf>
    <xf numFmtId="4" fontId="28" fillId="24" borderId="14" xfId="0" applyNumberFormat="1" applyFont="1" applyFill="1" applyBorder="1" applyAlignment="1" applyProtection="1">
      <alignment horizontal="center"/>
      <protection hidden="1"/>
    </xf>
    <xf numFmtId="0" fontId="34" fillId="24" borderId="92" xfId="0" applyFont="1" applyFill="1" applyBorder="1"/>
    <xf numFmtId="4" fontId="28" fillId="24" borderId="87" xfId="0" applyNumberFormat="1" applyFont="1" applyFill="1" applyBorder="1" applyAlignment="1" applyProtection="1">
      <alignment horizontal="center"/>
      <protection hidden="1"/>
    </xf>
    <xf numFmtId="4" fontId="34" fillId="0" borderId="10" xfId="0" applyNumberFormat="1" applyFont="1" applyBorder="1" applyAlignment="1" applyProtection="1">
      <alignment horizontal="center"/>
      <protection hidden="1"/>
    </xf>
    <xf numFmtId="4" fontId="34" fillId="23" borderId="15" xfId="0" applyNumberFormat="1" applyFont="1" applyFill="1" applyBorder="1" applyAlignment="1" applyProtection="1">
      <alignment horizontal="center"/>
      <protection hidden="1"/>
    </xf>
    <xf numFmtId="165" fontId="35" fillId="7" borderId="15" xfId="0" applyNumberFormat="1" applyFont="1" applyFill="1" applyBorder="1" applyAlignment="1" applyProtection="1">
      <alignment horizontal="right" vertical="center"/>
      <protection hidden="1"/>
    </xf>
    <xf numFmtId="0" fontId="35" fillId="0" borderId="7" xfId="0" applyFont="1" applyBorder="1" applyProtection="1">
      <protection hidden="1"/>
    </xf>
    <xf numFmtId="0" fontId="104" fillId="13" borderId="0" xfId="0" applyFont="1" applyFill="1" applyAlignment="1" applyProtection="1">
      <alignment vertical="center"/>
      <protection hidden="1"/>
    </xf>
    <xf numFmtId="0" fontId="35" fillId="13" borderId="0" xfId="0" applyFont="1" applyFill="1" applyAlignment="1" applyProtection="1">
      <alignment vertical="center"/>
      <protection hidden="1"/>
    </xf>
    <xf numFmtId="14" fontId="96" fillId="0" borderId="0" xfId="0" applyNumberFormat="1" applyFont="1" applyProtection="1">
      <protection hidden="1"/>
    </xf>
    <xf numFmtId="0" fontId="94" fillId="0" borderId="0" xfId="0" applyFont="1" applyAlignment="1" applyProtection="1">
      <alignment horizontal="left"/>
      <protection hidden="1"/>
    </xf>
    <xf numFmtId="0" fontId="94" fillId="0" borderId="0" xfId="0" applyFont="1" applyAlignment="1" applyProtection="1">
      <alignment vertical="center"/>
      <protection hidden="1"/>
    </xf>
    <xf numFmtId="165" fontId="28" fillId="0" borderId="0" xfId="0" applyNumberFormat="1" applyFont="1" applyProtection="1">
      <protection hidden="1"/>
    </xf>
    <xf numFmtId="0" fontId="90" fillId="0" borderId="0" xfId="0" applyFont="1" applyProtection="1">
      <protection hidden="1"/>
    </xf>
    <xf numFmtId="0" fontId="38" fillId="0" borderId="0" xfId="0" applyFont="1" applyProtection="1">
      <protection hidden="1"/>
    </xf>
    <xf numFmtId="0" fontId="106" fillId="6" borderId="0" xfId="0" applyFont="1" applyFill="1" applyProtection="1">
      <protection hidden="1"/>
    </xf>
    <xf numFmtId="0" fontId="53" fillId="6" borderId="0" xfId="0" applyFont="1" applyFill="1" applyProtection="1">
      <protection hidden="1"/>
    </xf>
    <xf numFmtId="3" fontId="34" fillId="6" borderId="0" xfId="0" applyNumberFormat="1" applyFont="1" applyFill="1" applyAlignment="1" applyProtection="1">
      <alignment horizontal="center" vertical="center"/>
      <protection hidden="1"/>
    </xf>
    <xf numFmtId="0" fontId="53" fillId="0" borderId="0" xfId="0" applyFont="1" applyAlignment="1" applyProtection="1">
      <alignment horizontal="left"/>
      <protection hidden="1"/>
    </xf>
    <xf numFmtId="0" fontId="107" fillId="0" borderId="0" xfId="0" applyFont="1"/>
    <xf numFmtId="0" fontId="108" fillId="0" borderId="0" xfId="0" applyFont="1"/>
    <xf numFmtId="0" fontId="107" fillId="0" borderId="0" xfId="0" applyFont="1" applyProtection="1">
      <protection hidden="1"/>
    </xf>
    <xf numFmtId="0" fontId="109" fillId="0" borderId="0" xfId="0" applyFont="1" applyProtection="1">
      <protection hidden="1"/>
    </xf>
    <xf numFmtId="2" fontId="107" fillId="0" borderId="0" xfId="0" applyNumberFormat="1" applyFont="1" applyProtection="1">
      <protection hidden="1"/>
    </xf>
    <xf numFmtId="0" fontId="108" fillId="0" borderId="0" xfId="0" applyFont="1" applyProtection="1">
      <protection hidden="1"/>
    </xf>
    <xf numFmtId="0" fontId="41" fillId="0" borderId="5" xfId="0" applyFont="1" applyBorder="1" applyAlignment="1">
      <alignment horizontal="right"/>
    </xf>
    <xf numFmtId="0" fontId="107" fillId="0" borderId="0" xfId="0" applyFont="1" applyAlignment="1" applyProtection="1">
      <alignment vertical="center"/>
      <protection hidden="1"/>
    </xf>
    <xf numFmtId="0" fontId="108" fillId="0" borderId="0" xfId="0" applyFont="1" applyAlignment="1" applyProtection="1">
      <alignment vertical="center"/>
      <protection hidden="1"/>
    </xf>
    <xf numFmtId="2" fontId="95" fillId="6" borderId="0" xfId="0" applyNumberFormat="1" applyFont="1" applyFill="1" applyAlignment="1" applyProtection="1">
      <alignment vertical="center"/>
      <protection hidden="1"/>
    </xf>
    <xf numFmtId="2" fontId="40" fillId="6" borderId="0" xfId="0" applyNumberFormat="1" applyFont="1" applyFill="1" applyProtection="1">
      <protection hidden="1"/>
    </xf>
    <xf numFmtId="165" fontId="35" fillId="9" borderId="10" xfId="0" applyNumberFormat="1" applyFont="1" applyFill="1" applyBorder="1" applyAlignment="1" applyProtection="1">
      <alignment horizontal="right"/>
      <protection hidden="1"/>
    </xf>
    <xf numFmtId="0" fontId="108" fillId="0" borderId="0" xfId="0" applyFont="1" applyAlignment="1" applyProtection="1">
      <alignment horizontal="left"/>
      <protection hidden="1"/>
    </xf>
    <xf numFmtId="0" fontId="109" fillId="0" borderId="0" xfId="0" applyFont="1" applyAlignment="1" applyProtection="1">
      <alignment horizontal="left"/>
      <protection hidden="1"/>
    </xf>
    <xf numFmtId="2" fontId="74" fillId="0" borderId="0" xfId="0" applyNumberFormat="1" applyFont="1" applyProtection="1">
      <protection hidden="1"/>
    </xf>
    <xf numFmtId="165" fontId="111" fillId="0" borderId="0" xfId="0" applyNumberFormat="1" applyFont="1" applyAlignment="1" applyProtection="1">
      <alignment horizontal="right" indent="1"/>
      <protection hidden="1"/>
    </xf>
    <xf numFmtId="0" fontId="34" fillId="0" borderId="11" xfId="0" applyFont="1" applyBorder="1" applyAlignment="1">
      <alignment horizontal="center"/>
    </xf>
    <xf numFmtId="14" fontId="30" fillId="0" borderId="0" xfId="0" applyNumberFormat="1" applyFont="1"/>
    <xf numFmtId="0" fontId="34" fillId="0" borderId="9" xfId="0" applyFont="1" applyBorder="1" applyAlignment="1">
      <alignment horizontal="right"/>
    </xf>
    <xf numFmtId="14" fontId="92" fillId="0" borderId="0" xfId="0" applyNumberFormat="1" applyFont="1"/>
    <xf numFmtId="14" fontId="91" fillId="0" borderId="0" xfId="0" applyNumberFormat="1" applyFont="1"/>
    <xf numFmtId="0" fontId="92" fillId="0" borderId="0" xfId="0" applyFont="1"/>
    <xf numFmtId="0" fontId="35" fillId="13" borderId="88" xfId="0" applyFont="1" applyFill="1" applyBorder="1" applyAlignment="1">
      <alignment vertical="center"/>
    </xf>
    <xf numFmtId="0" fontId="35" fillId="25" borderId="92" xfId="6" applyFont="1" applyFill="1" applyBorder="1" applyAlignment="1" applyProtection="1">
      <alignment vertical="center"/>
    </xf>
    <xf numFmtId="0" fontId="35" fillId="25" borderId="93" xfId="6" applyFont="1" applyFill="1" applyBorder="1" applyAlignment="1" applyProtection="1">
      <alignment vertical="center"/>
    </xf>
    <xf numFmtId="0" fontId="35" fillId="25" borderId="94" xfId="6" applyFont="1" applyFill="1" applyBorder="1" applyAlignment="1" applyProtection="1">
      <alignment vertical="center"/>
    </xf>
    <xf numFmtId="0" fontId="41" fillId="6" borderId="0" xfId="0" applyFont="1" applyFill="1" applyAlignment="1" applyProtection="1">
      <alignment horizontal="right"/>
      <protection hidden="1"/>
    </xf>
    <xf numFmtId="7" fontId="40" fillId="6" borderId="0" xfId="3" applyNumberFormat="1" applyFont="1" applyFill="1" applyBorder="1" applyAlignment="1" applyProtection="1">
      <alignment horizontal="right"/>
      <protection hidden="1"/>
    </xf>
    <xf numFmtId="14" fontId="28" fillId="0" borderId="4" xfId="0" applyNumberFormat="1" applyFont="1" applyBorder="1" applyAlignment="1" applyProtection="1">
      <alignment horizontal="center" vertical="top"/>
      <protection hidden="1"/>
    </xf>
    <xf numFmtId="0" fontId="111" fillId="0" borderId="4" xfId="0" applyFont="1" applyBorder="1" applyAlignment="1" applyProtection="1">
      <alignment horizontal="center"/>
      <protection hidden="1"/>
    </xf>
    <xf numFmtId="1" fontId="74" fillId="0" borderId="4" xfId="0" applyNumberFormat="1" applyFont="1" applyBorder="1" applyAlignment="1" applyProtection="1">
      <alignment horizontal="center"/>
      <protection hidden="1"/>
    </xf>
    <xf numFmtId="0" fontId="34" fillId="0" borderId="7" xfId="0" applyFont="1" applyBorder="1" applyAlignment="1" applyProtection="1">
      <alignment horizontal="right"/>
      <protection hidden="1"/>
    </xf>
    <xf numFmtId="0" fontId="112" fillId="0" borderId="0" xfId="0" applyFont="1"/>
    <xf numFmtId="0" fontId="113" fillId="0" borderId="0" xfId="0" applyFont="1" applyAlignment="1" applyProtection="1">
      <alignment vertical="center"/>
      <protection hidden="1"/>
    </xf>
    <xf numFmtId="0" fontId="113" fillId="0" borderId="0" xfId="0" applyFont="1"/>
    <xf numFmtId="168" fontId="88" fillId="0" borderId="0" xfId="0" applyNumberFormat="1" applyFont="1"/>
    <xf numFmtId="0" fontId="112" fillId="0" borderId="0" xfId="0" applyFont="1" applyAlignment="1">
      <alignment horizontal="left"/>
    </xf>
    <xf numFmtId="0" fontId="40" fillId="0" borderId="23" xfId="0" applyFont="1" applyBorder="1" applyAlignment="1">
      <alignment horizontal="center" wrapText="1"/>
    </xf>
    <xf numFmtId="0" fontId="114" fillId="0" borderId="0" xfId="0" applyFont="1"/>
    <xf numFmtId="0" fontId="41" fillId="10" borderId="5" xfId="0" applyFont="1" applyFill="1" applyBorder="1" applyAlignment="1">
      <alignment horizontal="center" vertical="top" wrapText="1"/>
    </xf>
    <xf numFmtId="0" fontId="115" fillId="0" borderId="0" xfId="0" applyFont="1"/>
    <xf numFmtId="0" fontId="74" fillId="0" borderId="4" xfId="0" applyFont="1" applyBorder="1" applyAlignment="1" applyProtection="1">
      <alignment horizontal="center" vertical="top" wrapText="1"/>
      <protection hidden="1"/>
    </xf>
    <xf numFmtId="0" fontId="56" fillId="0" borderId="19" xfId="0" applyFont="1" applyBorder="1" applyAlignment="1">
      <alignment horizontal="center" wrapText="1"/>
    </xf>
    <xf numFmtId="0" fontId="41" fillId="10" borderId="5" xfId="0" applyFont="1" applyFill="1" applyBorder="1" applyAlignment="1">
      <alignment horizontal="center" wrapText="1"/>
    </xf>
    <xf numFmtId="0" fontId="115" fillId="0" borderId="0" xfId="0" applyFont="1" applyProtection="1">
      <protection hidden="1"/>
    </xf>
    <xf numFmtId="0" fontId="115" fillId="0" borderId="0" xfId="0" applyFont="1" applyAlignment="1" applyProtection="1">
      <alignment vertical="center"/>
      <protection hidden="1"/>
    </xf>
    <xf numFmtId="0" fontId="29" fillId="6" borderId="0" xfId="0" applyFont="1" applyFill="1" applyAlignment="1">
      <alignment horizontal="left"/>
    </xf>
    <xf numFmtId="4" fontId="28" fillId="24" borderId="0" xfId="0" applyNumberFormat="1" applyFont="1" applyFill="1" applyAlignment="1" applyProtection="1">
      <alignment horizontal="center"/>
      <protection hidden="1"/>
    </xf>
    <xf numFmtId="0" fontId="35" fillId="13" borderId="0" xfId="0" applyFont="1" applyFill="1" applyAlignment="1">
      <alignment horizontal="left"/>
    </xf>
    <xf numFmtId="0" fontId="40" fillId="13" borderId="89" xfId="0" applyFont="1" applyFill="1" applyBorder="1" applyAlignment="1">
      <alignment vertical="center"/>
    </xf>
    <xf numFmtId="0" fontId="28" fillId="13" borderId="52" xfId="0" applyFont="1" applyFill="1" applyBorder="1"/>
    <xf numFmtId="0" fontId="35" fillId="13" borderId="52" xfId="0" applyFont="1" applyFill="1" applyBorder="1" applyAlignment="1">
      <alignment horizontal="center" vertical="center"/>
    </xf>
    <xf numFmtId="0" fontId="33" fillId="6" borderId="0" xfId="0" applyFont="1" applyFill="1"/>
    <xf numFmtId="0" fontId="63" fillId="0" borderId="0" xfId="0" applyFont="1"/>
    <xf numFmtId="0" fontId="42" fillId="0" borderId="0" xfId="2" applyBorder="1" applyAlignment="1" applyProtection="1"/>
    <xf numFmtId="0" fontId="30" fillId="6" borderId="0" xfId="0" applyFont="1" applyFill="1"/>
    <xf numFmtId="0" fontId="117" fillId="6" borderId="0" xfId="2" applyFont="1" applyFill="1" applyAlignment="1" applyProtection="1"/>
    <xf numFmtId="0" fontId="118" fillId="0" borderId="0" xfId="0" applyFont="1" applyProtection="1">
      <protection hidden="1"/>
    </xf>
    <xf numFmtId="0" fontId="119" fillId="0" borderId="0" xfId="0" applyFont="1" applyAlignment="1" applyProtection="1">
      <alignment vertical="center"/>
      <protection hidden="1"/>
    </xf>
    <xf numFmtId="0" fontId="39" fillId="6" borderId="7" xfId="0" applyFont="1" applyFill="1" applyBorder="1"/>
    <xf numFmtId="0" fontId="105" fillId="0" borderId="0" xfId="0" applyFont="1"/>
    <xf numFmtId="0" fontId="74" fillId="6" borderId="0" xfId="0" applyFont="1" applyFill="1" applyProtection="1">
      <protection hidden="1"/>
    </xf>
    <xf numFmtId="1" fontId="74" fillId="6" borderId="0" xfId="0" applyNumberFormat="1" applyFont="1" applyFill="1" applyProtection="1">
      <protection hidden="1"/>
    </xf>
    <xf numFmtId="0" fontId="39" fillId="6" borderId="0" xfId="0" applyFont="1" applyFill="1" applyAlignment="1" applyProtection="1">
      <alignment horizontal="right" vertical="center"/>
      <protection hidden="1"/>
    </xf>
    <xf numFmtId="168" fontId="39" fillId="6" borderId="0" xfId="0" applyNumberFormat="1" applyFont="1" applyFill="1" applyAlignment="1" applyProtection="1">
      <alignment vertical="center"/>
      <protection hidden="1"/>
    </xf>
    <xf numFmtId="174" fontId="74" fillId="6" borderId="40" xfId="0" applyNumberFormat="1" applyFont="1" applyFill="1" applyBorder="1" applyAlignment="1" applyProtection="1">
      <alignment vertical="center"/>
      <protection hidden="1"/>
    </xf>
    <xf numFmtId="168" fontId="93" fillId="6" borderId="0" xfId="0" applyNumberFormat="1" applyFont="1" applyFill="1" applyAlignment="1">
      <alignment horizontal="right"/>
    </xf>
    <xf numFmtId="0" fontId="39" fillId="10" borderId="0" xfId="0" applyFont="1" applyFill="1" applyAlignment="1" applyProtection="1">
      <alignment vertical="center"/>
      <protection hidden="1"/>
    </xf>
    <xf numFmtId="0" fontId="39" fillId="6" borderId="0" xfId="0" applyFont="1" applyFill="1" applyProtection="1">
      <protection hidden="1"/>
    </xf>
    <xf numFmtId="2" fontId="39" fillId="6" borderId="0" xfId="0" applyNumberFormat="1" applyFont="1" applyFill="1" applyAlignment="1" applyProtection="1">
      <alignment horizontal="right"/>
      <protection hidden="1"/>
    </xf>
    <xf numFmtId="0" fontId="34" fillId="0" borderId="15" xfId="0" applyFont="1" applyBorder="1" applyAlignment="1">
      <alignment horizontal="center"/>
    </xf>
    <xf numFmtId="0" fontId="34" fillId="0" borderId="94" xfId="0" applyFont="1" applyBorder="1" applyAlignment="1">
      <alignment horizontal="center"/>
    </xf>
    <xf numFmtId="0" fontId="27" fillId="3" borderId="7" xfId="0" applyFont="1" applyFill="1" applyBorder="1" applyAlignment="1" applyProtection="1">
      <alignment horizontal="center"/>
      <protection locked="0"/>
    </xf>
    <xf numFmtId="4" fontId="26" fillId="18" borderId="24" xfId="0" applyNumberFormat="1" applyFont="1" applyFill="1" applyBorder="1" applyAlignment="1" applyProtection="1">
      <alignment horizontal="center"/>
      <protection locked="0"/>
    </xf>
    <xf numFmtId="0" fontId="26" fillId="18" borderId="13" xfId="0" applyFont="1" applyFill="1" applyBorder="1" applyAlignment="1" applyProtection="1">
      <alignment horizontal="center"/>
      <protection locked="0"/>
    </xf>
    <xf numFmtId="4" fontId="26" fillId="18" borderId="14" xfId="0" applyNumberFormat="1" applyFont="1" applyFill="1" applyBorder="1" applyAlignment="1" applyProtection="1">
      <alignment horizontal="center"/>
      <protection locked="0"/>
    </xf>
    <xf numFmtId="169" fontId="26" fillId="18" borderId="13" xfId="0" applyNumberFormat="1" applyFont="1" applyFill="1" applyBorder="1" applyAlignment="1" applyProtection="1">
      <alignment horizontal="center"/>
      <protection locked="0"/>
    </xf>
    <xf numFmtId="169" fontId="28" fillId="18" borderId="13" xfId="0" applyNumberFormat="1" applyFont="1" applyFill="1" applyBorder="1" applyAlignment="1" applyProtection="1">
      <alignment horizontal="center"/>
      <protection locked="0"/>
    </xf>
    <xf numFmtId="169" fontId="28" fillId="18" borderId="3" xfId="0" applyNumberFormat="1" applyFont="1" applyFill="1" applyBorder="1" applyAlignment="1" applyProtection="1">
      <alignment horizontal="center"/>
      <protection locked="0"/>
    </xf>
    <xf numFmtId="169" fontId="34" fillId="23" borderId="53" xfId="0" applyNumberFormat="1" applyFont="1" applyFill="1" applyBorder="1" applyAlignment="1">
      <alignment horizontal="center"/>
    </xf>
    <xf numFmtId="169" fontId="34" fillId="0" borderId="15" xfId="0" applyNumberFormat="1" applyFont="1" applyBorder="1" applyAlignment="1">
      <alignment horizontal="center"/>
    </xf>
    <xf numFmtId="169" fontId="34" fillId="0" borderId="87" xfId="0" applyNumberFormat="1" applyFont="1" applyBorder="1" applyAlignment="1">
      <alignment horizontal="center"/>
    </xf>
    <xf numFmtId="169" fontId="34" fillId="0" borderId="9" xfId="0" applyNumberFormat="1" applyFont="1" applyBorder="1" applyAlignment="1">
      <alignment horizontal="center"/>
    </xf>
    <xf numFmtId="169" fontId="34" fillId="23" borderId="9" xfId="0" applyNumberFormat="1" applyFont="1" applyFill="1" applyBorder="1" applyAlignment="1">
      <alignment horizontal="center"/>
    </xf>
    <xf numFmtId="180" fontId="34" fillId="0" borderId="9" xfId="0" applyNumberFormat="1" applyFont="1" applyBorder="1" applyAlignment="1">
      <alignment horizontal="center"/>
    </xf>
    <xf numFmtId="180" fontId="28" fillId="18" borderId="13" xfId="0" applyNumberFormat="1" applyFont="1" applyFill="1" applyBorder="1" applyAlignment="1" applyProtection="1">
      <alignment horizontal="center"/>
      <protection locked="0"/>
    </xf>
    <xf numFmtId="180" fontId="34" fillId="0" borderId="11" xfId="0" applyNumberFormat="1" applyFont="1" applyBorder="1" applyAlignment="1">
      <alignment horizontal="center"/>
    </xf>
    <xf numFmtId="180" fontId="34" fillId="0" borderId="87" xfId="0" applyNumberFormat="1" applyFont="1" applyBorder="1" applyAlignment="1">
      <alignment horizontal="center"/>
    </xf>
    <xf numFmtId="180" fontId="34" fillId="0" borderId="15" xfId="0" applyNumberFormat="1" applyFont="1" applyBorder="1" applyAlignment="1">
      <alignment horizontal="center"/>
    </xf>
    <xf numFmtId="169" fontId="34" fillId="6" borderId="0" xfId="0" applyNumberFormat="1" applyFont="1" applyFill="1"/>
    <xf numFmtId="169" fontId="34" fillId="0" borderId="0" xfId="0" applyNumberFormat="1" applyFont="1"/>
    <xf numFmtId="0" fontId="35" fillId="13" borderId="93" xfId="0" applyFont="1" applyFill="1" applyBorder="1" applyAlignment="1">
      <alignment horizontal="left" vertical="center"/>
    </xf>
    <xf numFmtId="0" fontId="25" fillId="18" borderId="56" xfId="0" applyFont="1" applyFill="1" applyBorder="1" applyAlignment="1" applyProtection="1">
      <alignment horizontal="center"/>
      <protection locked="0"/>
    </xf>
    <xf numFmtId="3" fontId="28" fillId="18" borderId="14" xfId="0" applyNumberFormat="1" applyFont="1" applyFill="1" applyBorder="1" applyAlignment="1" applyProtection="1">
      <alignment horizontal="center"/>
      <protection locked="0"/>
    </xf>
    <xf numFmtId="3" fontId="34" fillId="23" borderId="15" xfId="0" applyNumberFormat="1" applyFont="1" applyFill="1" applyBorder="1" applyAlignment="1">
      <alignment horizontal="center"/>
    </xf>
    <xf numFmtId="169" fontId="40" fillId="3" borderId="24" xfId="0" applyNumberFormat="1" applyFont="1" applyFill="1" applyBorder="1" applyAlignment="1" applyProtection="1">
      <alignment vertical="center"/>
      <protection locked="0"/>
    </xf>
    <xf numFmtId="7" fontId="40" fillId="7" borderId="14" xfId="3" applyNumberFormat="1" applyFont="1" applyFill="1" applyBorder="1" applyAlignment="1" applyProtection="1">
      <alignment horizontal="right" vertical="center"/>
    </xf>
    <xf numFmtId="165" fontId="40" fillId="7" borderId="15" xfId="0" applyNumberFormat="1" applyFont="1" applyFill="1" applyBorder="1" applyAlignment="1">
      <alignment horizontal="right" vertical="center"/>
    </xf>
    <xf numFmtId="165" fontId="40" fillId="26" borderId="15" xfId="0" applyNumberFormat="1" applyFont="1" applyFill="1" applyBorder="1" applyAlignment="1" applyProtection="1">
      <alignment horizontal="right" vertical="center"/>
      <protection locked="0"/>
    </xf>
    <xf numFmtId="14" fontId="24" fillId="3" borderId="14" xfId="0" applyNumberFormat="1" applyFont="1" applyFill="1" applyBorder="1" applyAlignment="1" applyProtection="1">
      <alignment horizontal="center" vertical="center"/>
      <protection locked="0"/>
    </xf>
    <xf numFmtId="14" fontId="34" fillId="3" borderId="14" xfId="0" applyNumberFormat="1" applyFont="1" applyFill="1" applyBorder="1" applyAlignment="1" applyProtection="1">
      <alignment horizontal="center" vertical="center"/>
      <protection locked="0"/>
    </xf>
    <xf numFmtId="1" fontId="24" fillId="3" borderId="20" xfId="0" applyNumberFormat="1" applyFont="1" applyFill="1" applyBorder="1" applyAlignment="1" applyProtection="1">
      <alignment horizontal="center"/>
      <protection locked="0"/>
    </xf>
    <xf numFmtId="1" fontId="24" fillId="3" borderId="21" xfId="0" applyNumberFormat="1" applyFont="1" applyFill="1" applyBorder="1" applyAlignment="1" applyProtection="1">
      <alignment horizontal="center"/>
      <protection locked="0"/>
    </xf>
    <xf numFmtId="1" fontId="24" fillId="3" borderId="22" xfId="0" applyNumberFormat="1" applyFont="1" applyFill="1" applyBorder="1" applyAlignment="1" applyProtection="1">
      <alignment horizontal="center"/>
      <protection locked="0"/>
    </xf>
    <xf numFmtId="3" fontId="24" fillId="3" borderId="20" xfId="0" applyNumberFormat="1" applyFont="1" applyFill="1" applyBorder="1" applyAlignment="1" applyProtection="1">
      <alignment horizontal="center"/>
      <protection locked="0"/>
    </xf>
    <xf numFmtId="3" fontId="24" fillId="3" borderId="21" xfId="0" applyNumberFormat="1" applyFont="1" applyFill="1" applyBorder="1" applyAlignment="1" applyProtection="1">
      <alignment horizontal="center"/>
      <protection locked="0"/>
    </xf>
    <xf numFmtId="3" fontId="24" fillId="3" borderId="22" xfId="0" applyNumberFormat="1" applyFont="1" applyFill="1" applyBorder="1" applyAlignment="1" applyProtection="1">
      <alignment horizontal="center"/>
      <protection locked="0"/>
    </xf>
    <xf numFmtId="17" fontId="34" fillId="3" borderId="23" xfId="0" applyNumberFormat="1" applyFont="1" applyFill="1" applyBorder="1" applyAlignment="1" applyProtection="1">
      <alignment horizontal="center" vertical="center"/>
      <protection locked="0"/>
    </xf>
    <xf numFmtId="169" fontId="35" fillId="3" borderId="34" xfId="0" applyNumberFormat="1" applyFont="1" applyFill="1" applyBorder="1" applyAlignment="1" applyProtection="1">
      <alignment vertical="center"/>
      <protection locked="0"/>
    </xf>
    <xf numFmtId="169" fontId="35" fillId="3" borderId="35" xfId="0" applyNumberFormat="1" applyFont="1" applyFill="1" applyBorder="1" applyAlignment="1" applyProtection="1">
      <alignment vertical="center"/>
      <protection locked="0"/>
    </xf>
    <xf numFmtId="7" fontId="40" fillId="3" borderId="14" xfId="20" applyNumberFormat="1" applyFont="1" applyFill="1" applyBorder="1" applyAlignment="1" applyProtection="1">
      <alignment horizontal="right"/>
      <protection locked="0"/>
    </xf>
    <xf numFmtId="0" fontId="24" fillId="18" borderId="8" xfId="0" applyFont="1" applyFill="1" applyBorder="1" applyAlignment="1" applyProtection="1">
      <alignment horizontal="center"/>
      <protection locked="0"/>
    </xf>
    <xf numFmtId="0" fontId="24" fillId="18" borderId="54" xfId="0" applyFont="1" applyFill="1" applyBorder="1" applyAlignment="1" applyProtection="1">
      <alignment horizontal="center"/>
      <protection locked="0"/>
    </xf>
    <xf numFmtId="4" fontId="24" fillId="18" borderId="24" xfId="0" applyNumberFormat="1" applyFont="1" applyFill="1" applyBorder="1" applyAlignment="1" applyProtection="1">
      <alignment horizontal="center"/>
      <protection locked="0"/>
    </xf>
    <xf numFmtId="4" fontId="24" fillId="18" borderId="14" xfId="0" applyNumberFormat="1" applyFont="1" applyFill="1" applyBorder="1" applyAlignment="1" applyProtection="1">
      <alignment horizontal="center"/>
      <protection locked="0"/>
    </xf>
    <xf numFmtId="4" fontId="24" fillId="18" borderId="13" xfId="0" applyNumberFormat="1" applyFont="1" applyFill="1" applyBorder="1" applyAlignment="1" applyProtection="1">
      <alignment horizontal="center"/>
      <protection locked="0"/>
    </xf>
    <xf numFmtId="0" fontId="24" fillId="18" borderId="56" xfId="0" applyFont="1" applyFill="1" applyBorder="1" applyAlignment="1" applyProtection="1">
      <alignment horizontal="center"/>
      <protection locked="0"/>
    </xf>
    <xf numFmtId="169" fontId="35" fillId="0" borderId="9" xfId="0" applyNumberFormat="1" applyFont="1" applyBorder="1" applyAlignment="1" applyProtection="1">
      <alignment vertical="center"/>
      <protection hidden="1"/>
    </xf>
    <xf numFmtId="0" fontId="23" fillId="27" borderId="56" xfId="0" applyFont="1" applyFill="1" applyBorder="1" applyAlignment="1" applyProtection="1">
      <alignment horizontal="center"/>
      <protection locked="0"/>
    </xf>
    <xf numFmtId="168" fontId="40" fillId="3" borderId="14" xfId="1" applyNumberFormat="1" applyFont="1" applyFill="1" applyBorder="1" applyAlignment="1" applyProtection="1">
      <alignment horizontal="right" vertical="center"/>
      <protection locked="0"/>
    </xf>
    <xf numFmtId="168" fontId="23" fillId="3" borderId="14" xfId="1" applyNumberFormat="1" applyFont="1" applyFill="1" applyBorder="1" applyAlignment="1" applyProtection="1">
      <alignment horizontal="right" vertical="center"/>
      <protection locked="0"/>
    </xf>
    <xf numFmtId="4" fontId="23" fillId="18" borderId="14" xfId="0" applyNumberFormat="1" applyFont="1" applyFill="1" applyBorder="1" applyAlignment="1" applyProtection="1">
      <alignment horizontal="center"/>
      <protection locked="0"/>
    </xf>
    <xf numFmtId="49" fontId="0" fillId="0" borderId="8" xfId="0" applyNumberFormat="1" applyBorder="1" applyAlignment="1" applyProtection="1">
      <alignment horizontal="center"/>
      <protection hidden="1"/>
    </xf>
    <xf numFmtId="49" fontId="0" fillId="0" borderId="5" xfId="0" applyNumberFormat="1" applyBorder="1" applyProtection="1">
      <protection hidden="1"/>
    </xf>
    <xf numFmtId="0" fontId="22" fillId="0" borderId="3" xfId="0" applyFont="1" applyBorder="1" applyAlignment="1" applyProtection="1">
      <alignment horizontal="center"/>
      <protection hidden="1"/>
    </xf>
    <xf numFmtId="0" fontId="22" fillId="0" borderId="5" xfId="0" applyFont="1" applyBorder="1" applyAlignment="1" applyProtection="1">
      <alignment horizontal="center"/>
      <protection hidden="1"/>
    </xf>
    <xf numFmtId="168" fontId="28" fillId="3" borderId="13" xfId="1" applyNumberFormat="1" applyFont="1" applyFill="1" applyBorder="1" applyAlignment="1" applyProtection="1">
      <alignment vertical="center"/>
      <protection locked="0"/>
    </xf>
    <xf numFmtId="0" fontId="22" fillId="0" borderId="8" xfId="0" applyFont="1" applyBorder="1" applyAlignment="1" applyProtection="1">
      <alignment horizontal="center"/>
      <protection hidden="1"/>
    </xf>
    <xf numFmtId="169" fontId="35" fillId="18" borderId="14" xfId="0" applyNumberFormat="1" applyFont="1" applyFill="1" applyBorder="1" applyAlignment="1" applyProtection="1">
      <alignment vertical="center"/>
      <protection locked="0"/>
    </xf>
    <xf numFmtId="0" fontId="22" fillId="0" borderId="0" xfId="0" applyFont="1" applyAlignment="1" applyProtection="1">
      <alignment vertical="center"/>
      <protection hidden="1"/>
    </xf>
    <xf numFmtId="0" fontId="39" fillId="6" borderId="0" xfId="0" applyFont="1" applyFill="1"/>
    <xf numFmtId="169" fontId="24" fillId="18" borderId="8" xfId="0" applyNumberFormat="1" applyFont="1" applyFill="1" applyBorder="1" applyAlignment="1" applyProtection="1">
      <alignment horizontal="center"/>
      <protection locked="0"/>
    </xf>
    <xf numFmtId="169" fontId="24" fillId="27" borderId="8" xfId="0" applyNumberFormat="1" applyFont="1" applyFill="1" applyBorder="1" applyAlignment="1" applyProtection="1">
      <alignment horizontal="center"/>
      <protection locked="0"/>
    </xf>
    <xf numFmtId="169" fontId="24" fillId="27" borderId="13" xfId="0" applyNumberFormat="1" applyFont="1" applyFill="1" applyBorder="1" applyAlignment="1" applyProtection="1">
      <alignment horizontal="center"/>
      <protection locked="0"/>
    </xf>
    <xf numFmtId="169" fontId="34" fillId="23" borderId="15" xfId="0" applyNumberFormat="1" applyFont="1" applyFill="1" applyBorder="1" applyAlignment="1">
      <alignment horizontal="center"/>
    </xf>
    <xf numFmtId="169" fontId="23" fillId="27" borderId="13" xfId="0" applyNumberFormat="1" applyFont="1" applyFill="1" applyBorder="1" applyAlignment="1" applyProtection="1">
      <alignment horizontal="center"/>
      <protection locked="0"/>
    </xf>
    <xf numFmtId="169" fontId="28" fillId="3" borderId="14" xfId="0" applyNumberFormat="1" applyFont="1" applyFill="1" applyBorder="1" applyProtection="1">
      <protection locked="0"/>
    </xf>
    <xf numFmtId="0" fontId="21" fillId="18" borderId="61" xfId="0" applyFont="1" applyFill="1" applyBorder="1" applyAlignment="1" applyProtection="1">
      <alignment horizontal="center"/>
      <protection locked="0"/>
    </xf>
    <xf numFmtId="4" fontId="34" fillId="0" borderId="9" xfId="0" applyNumberFormat="1" applyFont="1" applyBorder="1" applyAlignment="1">
      <alignment horizontal="center"/>
    </xf>
    <xf numFmtId="4" fontId="34" fillId="0" borderId="10" xfId="0" applyNumberFormat="1" applyFont="1" applyBorder="1" applyAlignment="1">
      <alignment horizontal="center"/>
    </xf>
    <xf numFmtId="0" fontId="34" fillId="6" borderId="0" xfId="0" applyFont="1" applyFill="1" applyAlignment="1" applyProtection="1">
      <alignment horizontal="center"/>
      <protection hidden="1"/>
    </xf>
    <xf numFmtId="1" fontId="74" fillId="0" borderId="25" xfId="0" applyNumberFormat="1" applyFont="1" applyBorder="1" applyAlignment="1" applyProtection="1">
      <alignment horizontal="center"/>
      <protection hidden="1"/>
    </xf>
    <xf numFmtId="1" fontId="74" fillId="0" borderId="28" xfId="0" applyNumberFormat="1" applyFont="1" applyBorder="1" applyAlignment="1" applyProtection="1">
      <alignment horizontal="center"/>
      <protection hidden="1"/>
    </xf>
    <xf numFmtId="1" fontId="74" fillId="0" borderId="31" xfId="0" applyNumberFormat="1" applyFont="1" applyBorder="1" applyAlignment="1" applyProtection="1">
      <alignment horizontal="center"/>
      <protection hidden="1"/>
    </xf>
    <xf numFmtId="14" fontId="39" fillId="0" borderId="0" xfId="0" applyNumberFormat="1" applyFont="1"/>
    <xf numFmtId="0" fontId="116" fillId="0" borderId="0" xfId="0" applyFont="1"/>
    <xf numFmtId="0" fontId="28" fillId="0" borderId="23" xfId="0" applyFont="1" applyBorder="1"/>
    <xf numFmtId="0" fontId="28" fillId="0" borderId="19" xfId="0" applyFont="1" applyBorder="1"/>
    <xf numFmtId="4" fontId="26" fillId="6" borderId="24" xfId="0" applyNumberFormat="1" applyFont="1" applyFill="1" applyBorder="1" applyAlignment="1">
      <alignment horizontal="center"/>
    </xf>
    <xf numFmtId="4" fontId="28" fillId="0" borderId="0" xfId="0" applyNumberFormat="1" applyFont="1"/>
    <xf numFmtId="0" fontId="28" fillId="0" borderId="24" xfId="0" applyFont="1" applyBorder="1"/>
    <xf numFmtId="0" fontId="34" fillId="0" borderId="34" xfId="0" applyFont="1" applyBorder="1" applyAlignment="1">
      <alignment horizontal="center"/>
    </xf>
    <xf numFmtId="4" fontId="26" fillId="6" borderId="14" xfId="0" applyNumberFormat="1" applyFont="1" applyFill="1" applyBorder="1" applyAlignment="1">
      <alignment horizontal="center"/>
    </xf>
    <xf numFmtId="0" fontId="94" fillId="0" borderId="0" xfId="0" applyFont="1"/>
    <xf numFmtId="169" fontId="40" fillId="6" borderId="0" xfId="0" applyNumberFormat="1" applyFont="1" applyFill="1" applyAlignment="1">
      <alignment vertical="center"/>
    </xf>
    <xf numFmtId="169" fontId="35" fillId="3" borderId="34" xfId="0" applyNumberFormat="1" applyFont="1" applyFill="1" applyBorder="1" applyProtection="1">
      <protection hidden="1"/>
    </xf>
    <xf numFmtId="169" fontId="35" fillId="3" borderId="50" xfId="0" applyNumberFormat="1" applyFont="1" applyFill="1" applyBorder="1" applyProtection="1">
      <protection hidden="1"/>
    </xf>
    <xf numFmtId="165" fontId="40" fillId="3" borderId="15" xfId="0" applyNumberFormat="1" applyFont="1" applyFill="1" applyBorder="1" applyAlignment="1" applyProtection="1">
      <alignment horizontal="right"/>
      <protection hidden="1"/>
    </xf>
    <xf numFmtId="2" fontId="28" fillId="3" borderId="14" xfId="0" applyNumberFormat="1" applyFont="1" applyFill="1" applyBorder="1" applyAlignment="1" applyProtection="1">
      <alignment horizontal="center"/>
      <protection hidden="1"/>
    </xf>
    <xf numFmtId="4" fontId="28" fillId="0" borderId="10" xfId="0" applyNumberFormat="1" applyFont="1" applyBorder="1" applyAlignment="1">
      <alignment horizontal="center"/>
    </xf>
    <xf numFmtId="0" fontId="34" fillId="0" borderId="92" xfId="0" applyFont="1" applyBorder="1"/>
    <xf numFmtId="0" fontId="34" fillId="24" borderId="95" xfId="0" applyFont="1" applyFill="1" applyBorder="1"/>
    <xf numFmtId="0" fontId="35" fillId="13" borderId="92" xfId="0" applyFont="1" applyFill="1" applyBorder="1" applyAlignment="1">
      <alignment vertical="center"/>
    </xf>
    <xf numFmtId="0" fontId="35" fillId="13" borderId="93" xfId="0" applyFont="1" applyFill="1" applyBorder="1" applyAlignment="1">
      <alignment vertical="center"/>
    </xf>
    <xf numFmtId="0" fontId="35" fillId="13" borderId="0" xfId="0" applyFont="1" applyFill="1"/>
    <xf numFmtId="0" fontId="35" fillId="13" borderId="89" xfId="0" applyFont="1" applyFill="1" applyBorder="1" applyAlignment="1">
      <alignment vertical="center"/>
    </xf>
    <xf numFmtId="0" fontId="35" fillId="13" borderId="90" xfId="0" applyFont="1" applyFill="1" applyBorder="1" applyAlignment="1">
      <alignment vertical="center"/>
    </xf>
    <xf numFmtId="0" fontId="35" fillId="13" borderId="51" xfId="0" applyFont="1" applyFill="1" applyBorder="1" applyAlignment="1">
      <alignment vertical="center"/>
    </xf>
    <xf numFmtId="0" fontId="33" fillId="2" borderId="6" xfId="0" applyFont="1" applyFill="1" applyBorder="1" applyProtection="1">
      <protection hidden="1"/>
    </xf>
    <xf numFmtId="0" fontId="33" fillId="2" borderId="7" xfId="0" applyFont="1" applyFill="1" applyBorder="1" applyProtection="1">
      <protection hidden="1"/>
    </xf>
    <xf numFmtId="0" fontId="33" fillId="2" borderId="8" xfId="0" applyFont="1" applyFill="1" applyBorder="1" applyProtection="1">
      <protection hidden="1"/>
    </xf>
    <xf numFmtId="0" fontId="35" fillId="13" borderId="88" xfId="0" applyFont="1" applyFill="1" applyBorder="1" applyAlignment="1">
      <alignment horizontal="left" vertical="center"/>
    </xf>
    <xf numFmtId="0" fontId="35" fillId="13" borderId="0" xfId="0" applyFont="1" applyFill="1" applyAlignment="1">
      <alignment horizontal="left" vertical="center"/>
    </xf>
    <xf numFmtId="14" fontId="35" fillId="13" borderId="94" xfId="0" applyNumberFormat="1" applyFont="1" applyFill="1" applyBorder="1" applyAlignment="1">
      <alignment horizontal="left" vertical="center"/>
    </xf>
    <xf numFmtId="0" fontId="34" fillId="0" borderId="93" xfId="0" applyFont="1" applyBorder="1"/>
    <xf numFmtId="0" fontId="28" fillId="6" borderId="93" xfId="0" applyFont="1" applyFill="1" applyBorder="1"/>
    <xf numFmtId="0" fontId="28" fillId="6" borderId="51" xfId="0" applyFont="1" applyFill="1" applyBorder="1"/>
    <xf numFmtId="0" fontId="0" fillId="23" borderId="0" xfId="0" applyFill="1"/>
    <xf numFmtId="3" fontId="34" fillId="0" borderId="87" xfId="0" applyNumberFormat="1" applyFont="1" applyBorder="1" applyAlignment="1">
      <alignment horizontal="center"/>
    </xf>
    <xf numFmtId="4" fontId="28" fillId="0" borderId="92" xfId="0" applyNumberFormat="1" applyFont="1" applyBorder="1" applyAlignment="1">
      <alignment horizontal="center"/>
    </xf>
    <xf numFmtId="4" fontId="34" fillId="0" borderId="93" xfId="0" applyNumberFormat="1" applyFont="1" applyBorder="1" applyAlignment="1" applyProtection="1">
      <alignment horizontal="center"/>
      <protection hidden="1"/>
    </xf>
    <xf numFmtId="4" fontId="28" fillId="24" borderId="63" xfId="0" applyNumberFormat="1" applyFont="1" applyFill="1" applyBorder="1" applyAlignment="1" applyProtection="1">
      <alignment horizontal="center"/>
      <protection hidden="1"/>
    </xf>
    <xf numFmtId="0" fontId="34" fillId="24" borderId="93" xfId="0" applyFont="1" applyFill="1" applyBorder="1"/>
    <xf numFmtId="4" fontId="28" fillId="24" borderId="60" xfId="0" applyNumberFormat="1" applyFont="1" applyFill="1" applyBorder="1" applyAlignment="1" applyProtection="1">
      <alignment horizontal="center"/>
      <protection hidden="1"/>
    </xf>
    <xf numFmtId="0" fontId="35" fillId="2" borderId="89" xfId="0" applyFont="1" applyFill="1" applyBorder="1" applyAlignment="1">
      <alignment vertical="center"/>
    </xf>
    <xf numFmtId="0" fontId="35" fillId="2" borderId="88" xfId="0" applyFont="1" applyFill="1" applyBorder="1" applyAlignment="1">
      <alignment vertical="center"/>
    </xf>
    <xf numFmtId="0" fontId="40" fillId="2" borderId="88" xfId="0" applyFont="1" applyFill="1" applyBorder="1" applyAlignment="1">
      <alignment vertical="center"/>
    </xf>
    <xf numFmtId="0" fontId="40" fillId="2" borderId="90" xfId="0" applyFont="1" applyFill="1" applyBorder="1" applyAlignment="1">
      <alignment vertical="center"/>
    </xf>
    <xf numFmtId="0" fontId="35" fillId="2" borderId="52" xfId="0" applyFont="1" applyFill="1" applyBorder="1" applyAlignment="1">
      <alignment horizontal="left" vertical="center"/>
    </xf>
    <xf numFmtId="0" fontId="35" fillId="2" borderId="0" xfId="0" applyFont="1" applyFill="1" applyAlignment="1">
      <alignment horizontal="left" vertical="center"/>
    </xf>
    <xf numFmtId="0" fontId="40" fillId="2" borderId="0" xfId="0" applyFont="1" applyFill="1" applyAlignment="1">
      <alignment vertical="center"/>
    </xf>
    <xf numFmtId="0" fontId="40" fillId="2" borderId="51" xfId="0" applyFont="1" applyFill="1" applyBorder="1" applyAlignment="1">
      <alignment vertical="center"/>
    </xf>
    <xf numFmtId="0" fontId="35" fillId="2" borderId="0" xfId="0" applyFont="1" applyFill="1" applyAlignment="1">
      <alignment vertical="center"/>
    </xf>
    <xf numFmtId="0" fontId="35" fillId="2" borderId="52" xfId="0" applyFont="1" applyFill="1" applyBorder="1" applyAlignment="1">
      <alignment horizontal="right" vertical="center"/>
    </xf>
    <xf numFmtId="0" fontId="35" fillId="2" borderId="0" xfId="0" applyFont="1" applyFill="1" applyAlignment="1">
      <alignment horizontal="right" vertical="center"/>
    </xf>
    <xf numFmtId="49" fontId="35" fillId="2" borderId="0" xfId="0" applyNumberFormat="1" applyFont="1" applyFill="1" applyAlignment="1">
      <alignment horizontal="center"/>
    </xf>
    <xf numFmtId="0" fontId="28" fillId="2" borderId="51" xfId="0" applyFont="1" applyFill="1" applyBorder="1"/>
    <xf numFmtId="0" fontId="28" fillId="2" borderId="52" xfId="0" applyFont="1" applyFill="1" applyBorder="1"/>
    <xf numFmtId="0" fontId="28" fillId="2" borderId="0" xfId="0" applyFont="1" applyFill="1"/>
    <xf numFmtId="0" fontId="34" fillId="2" borderId="52" xfId="0" applyFont="1" applyFill="1" applyBorder="1" applyAlignment="1">
      <alignment horizontal="right"/>
    </xf>
    <xf numFmtId="0" fontId="34" fillId="2" borderId="0" xfId="0" applyFont="1" applyFill="1" applyAlignment="1">
      <alignment horizontal="right"/>
    </xf>
    <xf numFmtId="49" fontId="104" fillId="2" borderId="0" xfId="0" applyNumberFormat="1" applyFont="1" applyFill="1" applyAlignment="1">
      <alignment horizontal="center" vertical="center"/>
    </xf>
    <xf numFmtId="0" fontId="35" fillId="2" borderId="51" xfId="0" applyFont="1" applyFill="1" applyBorder="1" applyAlignment="1">
      <alignment vertical="center"/>
    </xf>
    <xf numFmtId="0" fontId="35" fillId="2" borderId="52" xfId="0" applyFont="1" applyFill="1" applyBorder="1" applyAlignment="1">
      <alignment horizontal="left"/>
    </xf>
    <xf numFmtId="0" fontId="35" fillId="2" borderId="0" xfId="0" applyFont="1" applyFill="1" applyAlignment="1">
      <alignment horizontal="left"/>
    </xf>
    <xf numFmtId="0" fontId="35" fillId="2" borderId="51" xfId="0" applyFont="1" applyFill="1" applyBorder="1" applyAlignment="1">
      <alignment horizontal="center" vertical="center"/>
    </xf>
    <xf numFmtId="0" fontId="35" fillId="2" borderId="52" xfId="0" applyFont="1" applyFill="1" applyBorder="1" applyAlignment="1">
      <alignment vertical="center"/>
    </xf>
    <xf numFmtId="0" fontId="28" fillId="2" borderId="92" xfId="0" applyFont="1" applyFill="1" applyBorder="1"/>
    <xf numFmtId="0" fontId="28" fillId="2" borderId="93" xfId="0" applyFont="1" applyFill="1" applyBorder="1"/>
    <xf numFmtId="0" fontId="40" fillId="2" borderId="93" xfId="0" applyFont="1" applyFill="1" applyBorder="1" applyAlignment="1">
      <alignment vertical="center"/>
    </xf>
    <xf numFmtId="0" fontId="40" fillId="2" borderId="94" xfId="0" applyFont="1" applyFill="1" applyBorder="1" applyAlignment="1">
      <alignment vertical="center"/>
    </xf>
    <xf numFmtId="0" fontId="35" fillId="13" borderId="0" xfId="0" applyFont="1" applyFill="1" applyAlignment="1">
      <alignment horizontal="center" vertical="center"/>
    </xf>
    <xf numFmtId="0" fontId="20" fillId="6" borderId="93" xfId="0" applyFont="1" applyFill="1" applyBorder="1"/>
    <xf numFmtId="0" fontId="25" fillId="18" borderId="13" xfId="0" applyFont="1" applyFill="1" applyBorder="1" applyAlignment="1" applyProtection="1">
      <alignment horizontal="center"/>
      <protection locked="0"/>
    </xf>
    <xf numFmtId="0" fontId="25" fillId="18" borderId="3" xfId="0" applyFont="1" applyFill="1" applyBorder="1" applyAlignment="1" applyProtection="1">
      <alignment horizontal="center"/>
      <protection locked="0"/>
    </xf>
    <xf numFmtId="0" fontId="34" fillId="0" borderId="50" xfId="0" applyFont="1" applyBorder="1" applyAlignment="1">
      <alignment horizontal="center"/>
    </xf>
    <xf numFmtId="0" fontId="24" fillId="18" borderId="13" xfId="0" applyFont="1" applyFill="1" applyBorder="1" applyAlignment="1" applyProtection="1">
      <alignment horizontal="center"/>
      <protection locked="0"/>
    </xf>
    <xf numFmtId="0" fontId="23" fillId="27" borderId="13" xfId="0" applyFont="1" applyFill="1" applyBorder="1" applyAlignment="1" applyProtection="1">
      <alignment horizontal="center"/>
      <protection locked="0"/>
    </xf>
    <xf numFmtId="0" fontId="35" fillId="13" borderId="14" xfId="0" applyFont="1" applyFill="1" applyBorder="1" applyAlignment="1">
      <alignment horizontal="center" vertical="center" wrapText="1"/>
    </xf>
    <xf numFmtId="0" fontId="28" fillId="6" borderId="94" xfId="0" applyFont="1" applyFill="1" applyBorder="1"/>
    <xf numFmtId="0" fontId="35" fillId="28" borderId="14" xfId="0" applyFont="1" applyFill="1" applyBorder="1" applyAlignment="1">
      <alignment horizontal="center" vertical="center" wrapText="1"/>
    </xf>
    <xf numFmtId="0" fontId="35" fillId="6" borderId="0" xfId="0" applyFont="1" applyFill="1" applyAlignment="1">
      <alignment horizontal="center" vertical="center" wrapText="1"/>
    </xf>
    <xf numFmtId="0" fontId="47" fillId="6" borderId="0" xfId="0" applyFont="1" applyFill="1" applyAlignment="1">
      <alignment horizontal="center" vertical="center" wrapText="1"/>
    </xf>
    <xf numFmtId="49" fontId="35" fillId="6" borderId="0" xfId="0" applyNumberFormat="1" applyFont="1" applyFill="1" applyAlignment="1">
      <alignment horizontal="center" vertical="center" wrapText="1"/>
    </xf>
    <xf numFmtId="49" fontId="47" fillId="6" borderId="0" xfId="0" applyNumberFormat="1" applyFont="1" applyFill="1" applyAlignment="1">
      <alignment horizontal="center" vertical="center" wrapText="1"/>
    </xf>
    <xf numFmtId="4" fontId="28" fillId="0" borderId="0" xfId="0" applyNumberFormat="1" applyFont="1" applyAlignment="1">
      <alignment horizontal="center"/>
    </xf>
    <xf numFmtId="4" fontId="34" fillId="23" borderId="0" xfId="0" applyNumberFormat="1" applyFont="1" applyFill="1" applyAlignment="1">
      <alignment horizontal="center"/>
    </xf>
    <xf numFmtId="0" fontId="34" fillId="0" borderId="0" xfId="0" applyFont="1" applyAlignment="1">
      <alignment horizontal="center"/>
    </xf>
    <xf numFmtId="4" fontId="28" fillId="22" borderId="0" xfId="0" applyNumberFormat="1" applyFont="1" applyFill="1" applyAlignment="1">
      <alignment horizontal="center" wrapText="1"/>
    </xf>
    <xf numFmtId="4" fontId="34" fillId="23" borderId="0" xfId="0" applyNumberFormat="1" applyFont="1" applyFill="1" applyAlignment="1" applyProtection="1">
      <alignment horizontal="center"/>
      <protection hidden="1"/>
    </xf>
    <xf numFmtId="49" fontId="35" fillId="18" borderId="23" xfId="0" applyNumberFormat="1" applyFont="1" applyFill="1" applyBorder="1" applyAlignment="1" applyProtection="1">
      <alignment horizontal="left" vertical="center"/>
      <protection locked="0"/>
    </xf>
    <xf numFmtId="0" fontId="76" fillId="29" borderId="0" xfId="0" applyFont="1" applyFill="1" applyAlignment="1">
      <alignment horizontal="center" wrapText="1"/>
    </xf>
    <xf numFmtId="0" fontId="28" fillId="31" borderId="0" xfId="0" applyFont="1" applyFill="1"/>
    <xf numFmtId="0" fontId="0" fillId="31" borderId="0" xfId="0" applyFill="1" applyAlignment="1">
      <alignment vertical="center"/>
    </xf>
    <xf numFmtId="0" fontId="0" fillId="31" borderId="0" xfId="0" applyFill="1" applyAlignment="1">
      <alignment horizontal="center" vertical="center"/>
    </xf>
    <xf numFmtId="0" fontId="35" fillId="31" borderId="0" xfId="0" applyFont="1" applyFill="1" applyAlignment="1">
      <alignment horizontal="center" vertical="center" wrapText="1"/>
    </xf>
    <xf numFmtId="0" fontId="124" fillId="32" borderId="0" xfId="0" applyFont="1" applyFill="1" applyAlignment="1">
      <alignment horizontal="left"/>
    </xf>
    <xf numFmtId="0" fontId="125" fillId="32" borderId="0" xfId="0" applyFont="1" applyFill="1" applyAlignment="1">
      <alignment horizontal="left"/>
    </xf>
    <xf numFmtId="0" fontId="126" fillId="32" borderId="0" xfId="0" applyFont="1" applyFill="1" applyAlignment="1">
      <alignment horizontal="left"/>
    </xf>
    <xf numFmtId="4" fontId="34" fillId="0" borderId="52" xfId="0" applyNumberFormat="1" applyFont="1" applyBorder="1" applyAlignment="1" applyProtection="1">
      <alignment horizontal="left"/>
      <protection hidden="1"/>
    </xf>
    <xf numFmtId="4" fontId="39" fillId="0" borderId="14" xfId="0" applyNumberFormat="1" applyFont="1" applyBorder="1"/>
    <xf numFmtId="4" fontId="45" fillId="0" borderId="14" xfId="0" applyNumberFormat="1" applyFont="1" applyBorder="1"/>
    <xf numFmtId="4" fontId="94" fillId="0" borderId="14" xfId="0" applyNumberFormat="1" applyFont="1" applyBorder="1"/>
    <xf numFmtId="181" fontId="39" fillId="0" borderId="14" xfId="0" applyNumberFormat="1" applyFont="1" applyBorder="1"/>
    <xf numFmtId="181" fontId="45" fillId="0" borderId="14" xfId="0" applyNumberFormat="1" applyFont="1" applyBorder="1"/>
    <xf numFmtId="181" fontId="94" fillId="0" borderId="14" xfId="0" applyNumberFormat="1" applyFont="1" applyBorder="1"/>
    <xf numFmtId="0" fontId="28" fillId="0" borderId="14" xfId="0" applyFont="1" applyBorder="1"/>
    <xf numFmtId="0" fontId="34" fillId="0" borderId="15" xfId="0" applyFont="1" applyBorder="1"/>
    <xf numFmtId="0" fontId="34" fillId="6" borderId="92" xfId="0" applyFont="1" applyFill="1" applyBorder="1"/>
    <xf numFmtId="0" fontId="24" fillId="18" borderId="61" xfId="0" applyFont="1" applyFill="1" applyBorder="1" applyAlignment="1" applyProtection="1">
      <alignment horizontal="center"/>
      <protection locked="0"/>
    </xf>
    <xf numFmtId="169" fontId="24" fillId="27" borderId="97" xfId="0" applyNumberFormat="1" applyFont="1" applyFill="1" applyBorder="1" applyAlignment="1" applyProtection="1">
      <alignment horizontal="center"/>
      <protection locked="0"/>
    </xf>
    <xf numFmtId="4" fontId="24" fillId="18" borderId="97" xfId="0" applyNumberFormat="1" applyFont="1" applyFill="1" applyBorder="1" applyAlignment="1" applyProtection="1">
      <alignment horizontal="center"/>
      <protection locked="0"/>
    </xf>
    <xf numFmtId="4" fontId="24" fillId="18" borderId="62" xfId="0" applyNumberFormat="1" applyFont="1" applyFill="1" applyBorder="1" applyAlignment="1" applyProtection="1">
      <alignment horizontal="center"/>
      <protection locked="0"/>
    </xf>
    <xf numFmtId="4" fontId="26" fillId="6" borderId="62" xfId="0" applyNumberFormat="1" applyFont="1" applyFill="1" applyBorder="1" applyAlignment="1">
      <alignment horizontal="center"/>
    </xf>
    <xf numFmtId="4" fontId="28" fillId="18" borderId="62" xfId="0" applyNumberFormat="1" applyFont="1" applyFill="1" applyBorder="1" applyAlignment="1" applyProtection="1">
      <alignment horizontal="center"/>
      <protection locked="0"/>
    </xf>
    <xf numFmtId="4" fontId="28" fillId="0" borderId="62" xfId="0" applyNumberFormat="1" applyFont="1" applyBorder="1" applyAlignment="1">
      <alignment horizontal="center"/>
    </xf>
    <xf numFmtId="4" fontId="28" fillId="0" borderId="55" xfId="0" applyNumberFormat="1" applyFont="1" applyBorder="1" applyAlignment="1">
      <alignment horizontal="center"/>
    </xf>
    <xf numFmtId="4" fontId="28" fillId="0" borderId="119" xfId="0" applyNumberFormat="1" applyFont="1" applyBorder="1" applyAlignment="1">
      <alignment horizontal="center"/>
    </xf>
    <xf numFmtId="0" fontId="25" fillId="18" borderId="61" xfId="0" applyFont="1" applyFill="1" applyBorder="1" applyAlignment="1" applyProtection="1">
      <alignment horizontal="center"/>
      <protection locked="0"/>
    </xf>
    <xf numFmtId="0" fontId="25" fillId="18" borderId="97" xfId="0" applyFont="1" applyFill="1" applyBorder="1" applyAlignment="1" applyProtection="1">
      <alignment horizontal="center"/>
      <protection locked="0"/>
    </xf>
    <xf numFmtId="169" fontId="28" fillId="18" borderId="97" xfId="0" applyNumberFormat="1" applyFont="1" applyFill="1" applyBorder="1" applyAlignment="1" applyProtection="1">
      <alignment horizontal="center"/>
      <protection locked="0"/>
    </xf>
    <xf numFmtId="4" fontId="28" fillId="18" borderId="97" xfId="0" applyNumberFormat="1" applyFont="1" applyFill="1" applyBorder="1" applyAlignment="1" applyProtection="1">
      <alignment horizontal="center"/>
      <protection locked="0"/>
    </xf>
    <xf numFmtId="4" fontId="23" fillId="18" borderId="62" xfId="0" applyNumberFormat="1" applyFont="1" applyFill="1" applyBorder="1" applyAlignment="1" applyProtection="1">
      <alignment horizontal="center"/>
      <protection locked="0"/>
    </xf>
    <xf numFmtId="0" fontId="25" fillId="18" borderId="58" xfId="0" applyFont="1" applyFill="1" applyBorder="1" applyAlignment="1" applyProtection="1">
      <alignment horizontal="center"/>
      <protection locked="0"/>
    </xf>
    <xf numFmtId="0" fontId="25" fillId="18" borderId="117" xfId="0" applyFont="1" applyFill="1" applyBorder="1" applyAlignment="1" applyProtection="1">
      <alignment horizontal="center"/>
      <protection locked="0"/>
    </xf>
    <xf numFmtId="169" fontId="28" fillId="18" borderId="117" xfId="0" applyNumberFormat="1" applyFont="1" applyFill="1" applyBorder="1" applyAlignment="1" applyProtection="1">
      <alignment horizontal="center"/>
      <protection locked="0"/>
    </xf>
    <xf numFmtId="4" fontId="28" fillId="18" borderId="117" xfId="0" applyNumberFormat="1" applyFont="1" applyFill="1" applyBorder="1" applyAlignment="1" applyProtection="1">
      <alignment horizontal="center"/>
      <protection locked="0"/>
    </xf>
    <xf numFmtId="4" fontId="26" fillId="6" borderId="120" xfId="0" applyNumberFormat="1" applyFont="1" applyFill="1" applyBorder="1" applyAlignment="1">
      <alignment horizontal="center"/>
    </xf>
    <xf numFmtId="4" fontId="28" fillId="18" borderId="59" xfId="0" applyNumberFormat="1" applyFont="1" applyFill="1" applyBorder="1" applyAlignment="1" applyProtection="1">
      <alignment horizontal="center"/>
      <protection locked="0"/>
    </xf>
    <xf numFmtId="4" fontId="28" fillId="0" borderId="59" xfId="0" applyNumberFormat="1" applyFont="1" applyBorder="1" applyAlignment="1">
      <alignment horizontal="center"/>
    </xf>
    <xf numFmtId="4" fontId="28" fillId="0" borderId="60" xfId="0" applyNumberFormat="1" applyFont="1" applyBorder="1" applyAlignment="1">
      <alignment horizontal="center"/>
    </xf>
    <xf numFmtId="0" fontId="23" fillId="27" borderId="61" xfId="0" applyFont="1" applyFill="1" applyBorder="1" applyAlignment="1" applyProtection="1">
      <alignment horizontal="center"/>
      <protection locked="0"/>
    </xf>
    <xf numFmtId="0" fontId="23" fillId="27" borderId="97" xfId="0" applyFont="1" applyFill="1" applyBorder="1" applyAlignment="1" applyProtection="1">
      <alignment horizontal="center"/>
      <protection locked="0"/>
    </xf>
    <xf numFmtId="169" fontId="23" fillId="27" borderId="97" xfId="0" applyNumberFormat="1" applyFont="1" applyFill="1" applyBorder="1" applyAlignment="1" applyProtection="1">
      <alignment horizontal="center"/>
      <protection locked="0"/>
    </xf>
    <xf numFmtId="180" fontId="34" fillId="0" borderId="94" xfId="0" applyNumberFormat="1" applyFont="1" applyBorder="1" applyAlignment="1">
      <alignment horizontal="center"/>
    </xf>
    <xf numFmtId="4" fontId="28" fillId="0" borderId="87" xfId="0" applyNumberFormat="1" applyFont="1" applyBorder="1" applyAlignment="1">
      <alignment horizontal="center"/>
    </xf>
    <xf numFmtId="4" fontId="34" fillId="23" borderId="87" xfId="0" applyNumberFormat="1" applyFont="1" applyFill="1" applyBorder="1" applyAlignment="1">
      <alignment horizontal="center"/>
    </xf>
    <xf numFmtId="180" fontId="28" fillId="18" borderId="97" xfId="0" applyNumberFormat="1" applyFont="1" applyFill="1" applyBorder="1" applyAlignment="1" applyProtection="1">
      <alignment horizontal="center"/>
      <protection locked="0"/>
    </xf>
    <xf numFmtId="180" fontId="28" fillId="18" borderId="117" xfId="0" applyNumberFormat="1" applyFont="1" applyFill="1" applyBorder="1" applyAlignment="1" applyProtection="1">
      <alignment horizontal="center"/>
      <protection locked="0"/>
    </xf>
    <xf numFmtId="4" fontId="26" fillId="6" borderId="59" xfId="0" applyNumberFormat="1" applyFont="1" applyFill="1" applyBorder="1" applyAlignment="1">
      <alignment horizontal="center"/>
    </xf>
    <xf numFmtId="4" fontId="34" fillId="13" borderId="116" xfId="0" applyNumberFormat="1" applyFont="1" applyFill="1" applyBorder="1" applyAlignment="1">
      <alignment horizontal="center" wrapText="1"/>
    </xf>
    <xf numFmtId="4" fontId="28" fillId="13" borderId="95" xfId="0" applyNumberFormat="1" applyFont="1" applyFill="1" applyBorder="1" applyAlignment="1">
      <alignment horizontal="center" wrapText="1"/>
    </xf>
    <xf numFmtId="4" fontId="28" fillId="13" borderId="95" xfId="0" applyNumberFormat="1" applyFont="1" applyFill="1" applyBorder="1" applyAlignment="1">
      <alignment horizontal="center"/>
    </xf>
    <xf numFmtId="4" fontId="28" fillId="13" borderId="62" xfId="0" applyNumberFormat="1" applyFont="1" applyFill="1" applyBorder="1" applyAlignment="1">
      <alignment horizontal="center" wrapText="1"/>
    </xf>
    <xf numFmtId="4" fontId="28" fillId="22" borderId="35" xfId="0" applyNumberFormat="1" applyFont="1" applyFill="1" applyBorder="1" applyAlignment="1">
      <alignment horizontal="center" wrapText="1"/>
    </xf>
    <xf numFmtId="4" fontId="28" fillId="24" borderId="52" xfId="0" applyNumberFormat="1" applyFont="1" applyFill="1" applyBorder="1" applyAlignment="1" applyProtection="1">
      <alignment horizontal="center"/>
      <protection hidden="1"/>
    </xf>
    <xf numFmtId="4" fontId="28" fillId="24" borderId="92" xfId="0" applyNumberFormat="1" applyFont="1" applyFill="1" applyBorder="1" applyAlignment="1" applyProtection="1">
      <alignment horizontal="center"/>
      <protection hidden="1"/>
    </xf>
    <xf numFmtId="4" fontId="28" fillId="24" borderId="93" xfId="0" applyNumberFormat="1" applyFont="1" applyFill="1" applyBorder="1" applyAlignment="1" applyProtection="1">
      <alignment horizontal="center"/>
      <protection hidden="1"/>
    </xf>
    <xf numFmtId="4" fontId="28" fillId="24" borderId="93" xfId="0" applyNumberFormat="1" applyFont="1" applyFill="1" applyBorder="1" applyAlignment="1">
      <alignment horizontal="center"/>
    </xf>
    <xf numFmtId="3" fontId="28" fillId="18" borderId="59" xfId="0" applyNumberFormat="1" applyFont="1" applyFill="1" applyBorder="1" applyAlignment="1" applyProtection="1">
      <alignment horizontal="center"/>
      <protection locked="0"/>
    </xf>
    <xf numFmtId="4" fontId="28" fillId="24" borderId="59" xfId="0" applyNumberFormat="1" applyFont="1" applyFill="1" applyBorder="1" applyAlignment="1" applyProtection="1">
      <alignment horizontal="center"/>
      <protection hidden="1"/>
    </xf>
    <xf numFmtId="0" fontId="34" fillId="6" borderId="89" xfId="0" applyFont="1" applyFill="1" applyBorder="1"/>
    <xf numFmtId="0" fontId="34" fillId="6" borderId="121" xfId="0" applyFont="1" applyFill="1" applyBorder="1"/>
    <xf numFmtId="4" fontId="28" fillId="22" borderId="122" xfId="0" applyNumberFormat="1" applyFont="1" applyFill="1" applyBorder="1" applyAlignment="1">
      <alignment horizontal="center" wrapText="1"/>
    </xf>
    <xf numFmtId="14" fontId="35" fillId="13" borderId="0" xfId="0" applyNumberFormat="1" applyFont="1" applyFill="1" applyAlignment="1">
      <alignment vertical="center"/>
    </xf>
    <xf numFmtId="4" fontId="34" fillId="23" borderId="71" xfId="0" applyNumberFormat="1" applyFont="1" applyFill="1" applyBorder="1" applyAlignment="1" applyProtection="1">
      <alignment horizontal="left"/>
      <protection hidden="1"/>
    </xf>
    <xf numFmtId="0" fontId="18" fillId="23" borderId="116" xfId="0" applyFont="1" applyFill="1" applyBorder="1" applyAlignment="1">
      <alignment horizontal="center"/>
    </xf>
    <xf numFmtId="4" fontId="34" fillId="23" borderId="87" xfId="0" applyNumberFormat="1" applyFont="1" applyFill="1" applyBorder="1" applyAlignment="1" applyProtection="1">
      <alignment horizontal="left"/>
      <protection hidden="1"/>
    </xf>
    <xf numFmtId="0" fontId="18" fillId="0" borderId="123" xfId="0" applyFont="1" applyBorder="1" applyAlignment="1">
      <alignment horizontal="center"/>
    </xf>
    <xf numFmtId="0" fontId="18" fillId="0" borderId="0" xfId="0" applyFont="1" applyAlignment="1">
      <alignment horizontal="center"/>
    </xf>
    <xf numFmtId="4" fontId="18" fillId="17" borderId="56" xfId="0" applyNumberFormat="1" applyFont="1" applyFill="1" applyBorder="1" applyAlignment="1" applyProtection="1">
      <alignment horizontal="left"/>
      <protection hidden="1"/>
    </xf>
    <xf numFmtId="4" fontId="18" fillId="17" borderId="99" xfId="0" applyNumberFormat="1" applyFont="1" applyFill="1" applyBorder="1" applyAlignment="1" applyProtection="1">
      <alignment horizontal="left"/>
      <protection hidden="1"/>
    </xf>
    <xf numFmtId="4" fontId="34" fillId="6" borderId="0" xfId="0" applyNumberFormat="1" applyFont="1" applyFill="1" applyAlignment="1" applyProtection="1">
      <alignment horizontal="left"/>
      <protection hidden="1"/>
    </xf>
    <xf numFmtId="4" fontId="40" fillId="17" borderId="56" xfId="0" applyNumberFormat="1" applyFont="1" applyFill="1" applyBorder="1" applyAlignment="1" applyProtection="1">
      <alignment horizontal="left" wrapText="1"/>
      <protection hidden="1"/>
    </xf>
    <xf numFmtId="4" fontId="34" fillId="17" borderId="15" xfId="0" applyNumberFormat="1" applyFont="1" applyFill="1" applyBorder="1" applyAlignment="1" applyProtection="1">
      <alignment horizontal="left" wrapText="1"/>
      <protection hidden="1"/>
    </xf>
    <xf numFmtId="14" fontId="35" fillId="31" borderId="14" xfId="0" applyNumberFormat="1" applyFont="1" applyFill="1" applyBorder="1" applyAlignment="1" applyProtection="1">
      <alignment vertical="center"/>
      <protection locked="0"/>
    </xf>
    <xf numFmtId="0" fontId="28" fillId="31" borderId="0" xfId="0" applyFont="1" applyFill="1" applyProtection="1">
      <protection hidden="1"/>
    </xf>
    <xf numFmtId="0" fontId="28" fillId="9" borderId="0" xfId="0" applyFont="1" applyFill="1"/>
    <xf numFmtId="0" fontId="0" fillId="9" borderId="0" xfId="0" applyFill="1" applyAlignment="1">
      <alignment vertical="center"/>
    </xf>
    <xf numFmtId="0" fontId="0" fillId="9" borderId="0" xfId="0" applyFill="1" applyAlignment="1">
      <alignment horizontal="center" vertical="center"/>
    </xf>
    <xf numFmtId="0" fontId="35" fillId="9" borderId="0" xfId="0" applyFont="1" applyFill="1" applyAlignment="1">
      <alignment horizontal="center" vertical="center" wrapText="1"/>
    </xf>
    <xf numFmtId="4" fontId="28" fillId="9" borderId="0" xfId="0" applyNumberFormat="1" applyFont="1" applyFill="1" applyAlignment="1">
      <alignment horizontal="center"/>
    </xf>
    <xf numFmtId="4" fontId="34" fillId="9" borderId="0" xfId="0" applyNumberFormat="1" applyFont="1" applyFill="1" applyAlignment="1">
      <alignment horizontal="center"/>
    </xf>
    <xf numFmtId="0" fontId="28" fillId="9" borderId="0" xfId="0" applyFont="1" applyFill="1" applyAlignment="1">
      <alignment horizontal="center"/>
    </xf>
    <xf numFmtId="0" fontId="34" fillId="9" borderId="0" xfId="0" applyFont="1" applyFill="1" applyAlignment="1">
      <alignment horizontal="center"/>
    </xf>
    <xf numFmtId="4" fontId="28" fillId="9" borderId="0" xfId="0" applyNumberFormat="1" applyFont="1" applyFill="1" applyAlignment="1">
      <alignment horizontal="center" wrapText="1"/>
    </xf>
    <xf numFmtId="4" fontId="28" fillId="9" borderId="0" xfId="0" applyNumberFormat="1" applyFont="1" applyFill="1" applyAlignment="1" applyProtection="1">
      <alignment horizontal="center"/>
      <protection hidden="1"/>
    </xf>
    <xf numFmtId="4" fontId="34" fillId="9" borderId="0" xfId="0" applyNumberFormat="1" applyFont="1" applyFill="1" applyAlignment="1" applyProtection="1">
      <alignment horizontal="center"/>
      <protection hidden="1"/>
    </xf>
    <xf numFmtId="0" fontId="19" fillId="9" borderId="0" xfId="0" applyFont="1" applyFill="1"/>
    <xf numFmtId="4" fontId="28" fillId="6" borderId="9" xfId="0" applyNumberFormat="1" applyFont="1" applyFill="1" applyBorder="1" applyAlignment="1">
      <alignment horizontal="center"/>
    </xf>
    <xf numFmtId="4" fontId="28" fillId="23" borderId="11" xfId="0" applyNumberFormat="1" applyFont="1" applyFill="1" applyBorder="1" applyAlignment="1">
      <alignment horizontal="center"/>
    </xf>
    <xf numFmtId="4" fontId="28" fillId="6" borderId="15" xfId="0" applyNumberFormat="1" applyFont="1" applyFill="1" applyBorder="1" applyAlignment="1">
      <alignment horizontal="center"/>
    </xf>
    <xf numFmtId="4" fontId="34" fillId="35" borderId="15" xfId="0" applyNumberFormat="1" applyFont="1" applyFill="1" applyBorder="1" applyAlignment="1" applyProtection="1">
      <alignment horizontal="left" wrapText="1"/>
      <protection hidden="1"/>
    </xf>
    <xf numFmtId="4" fontId="39" fillId="0" borderId="14" xfId="0" applyNumberFormat="1" applyFont="1" applyBorder="1" applyAlignment="1">
      <alignment horizontal="center"/>
    </xf>
    <xf numFmtId="168" fontId="40" fillId="7" borderId="15" xfId="0" applyNumberFormat="1" applyFont="1" applyFill="1" applyBorder="1" applyAlignment="1">
      <alignment horizontal="right"/>
    </xf>
    <xf numFmtId="0" fontId="17" fillId="18" borderId="8" xfId="0" applyFont="1" applyFill="1" applyBorder="1" applyAlignment="1" applyProtection="1">
      <alignment horizontal="center"/>
      <protection locked="0"/>
    </xf>
    <xf numFmtId="0" fontId="17" fillId="18" borderId="97" xfId="0" applyFont="1" applyFill="1" applyBorder="1" applyAlignment="1" applyProtection="1">
      <alignment horizontal="center"/>
      <protection locked="0"/>
    </xf>
    <xf numFmtId="0" fontId="37" fillId="36" borderId="0" xfId="0" applyFont="1" applyFill="1" applyProtection="1">
      <protection hidden="1"/>
    </xf>
    <xf numFmtId="0" fontId="37" fillId="37" borderId="0" xfId="0" applyFont="1" applyFill="1" applyProtection="1">
      <protection hidden="1"/>
    </xf>
    <xf numFmtId="2" fontId="39" fillId="36" borderId="0" xfId="0" applyNumberFormat="1" applyFont="1" applyFill="1" applyAlignment="1">
      <alignment horizontal="center" vertical="center"/>
    </xf>
    <xf numFmtId="0" fontId="39" fillId="36" borderId="0" xfId="0" applyFont="1" applyFill="1" applyAlignment="1">
      <alignment horizontal="center" vertical="center"/>
    </xf>
    <xf numFmtId="0" fontId="39" fillId="36" borderId="0" xfId="0" applyFont="1" applyFill="1" applyAlignment="1" applyProtection="1">
      <alignment vertical="center"/>
      <protection hidden="1"/>
    </xf>
    <xf numFmtId="0" fontId="39" fillId="36" borderId="0" xfId="0" applyFont="1" applyFill="1"/>
    <xf numFmtId="0" fontId="39" fillId="36" borderId="0" xfId="0" applyFont="1" applyFill="1" applyProtection="1">
      <protection hidden="1"/>
    </xf>
    <xf numFmtId="0" fontId="39" fillId="36" borderId="0" xfId="0" quotePrefix="1" applyFont="1" applyFill="1" applyAlignment="1" applyProtection="1">
      <alignment horizontal="left"/>
      <protection hidden="1"/>
    </xf>
    <xf numFmtId="0" fontId="39" fillId="36" borderId="0" xfId="0" applyFont="1" applyFill="1" applyAlignment="1" applyProtection="1">
      <alignment horizontal="right"/>
      <protection hidden="1"/>
    </xf>
    <xf numFmtId="0" fontId="39" fillId="36" borderId="0" xfId="0" applyFont="1" applyFill="1" applyAlignment="1" applyProtection="1">
      <alignment horizontal="left"/>
      <protection hidden="1"/>
    </xf>
    <xf numFmtId="0" fontId="28" fillId="36" borderId="0" xfId="0" applyFont="1" applyFill="1" applyAlignment="1" applyProtection="1">
      <alignment horizontal="center" vertical="center"/>
      <protection hidden="1"/>
    </xf>
    <xf numFmtId="0" fontId="28" fillId="36" borderId="0" xfId="0" applyFont="1" applyFill="1" applyAlignment="1" applyProtection="1">
      <alignment horizontal="right" vertical="center"/>
      <protection hidden="1"/>
    </xf>
    <xf numFmtId="3" fontId="39" fillId="36" borderId="0" xfId="0" applyNumberFormat="1" applyFont="1" applyFill="1" applyAlignment="1" applyProtection="1">
      <alignment horizontal="center" vertical="center"/>
      <protection hidden="1"/>
    </xf>
    <xf numFmtId="0" fontId="29" fillId="0" borderId="4" xfId="0" applyFont="1" applyBorder="1"/>
    <xf numFmtId="0" fontId="62" fillId="0" borderId="0" xfId="0" applyFont="1"/>
    <xf numFmtId="0" fontId="29" fillId="0" borderId="0" xfId="0" applyFont="1"/>
    <xf numFmtId="0" fontId="29" fillId="0" borderId="5" xfId="0" applyFont="1" applyBorder="1"/>
    <xf numFmtId="0" fontId="62" fillId="0" borderId="4" xfId="0" applyFont="1" applyBorder="1"/>
    <xf numFmtId="0" fontId="62" fillId="38" borderId="15" xfId="0" applyFont="1" applyFill="1" applyBorder="1" applyAlignment="1" applyProtection="1">
      <alignment horizontal="center" vertical="center"/>
      <protection locked="0"/>
    </xf>
    <xf numFmtId="0" fontId="128" fillId="0" borderId="0" xfId="0" applyFont="1"/>
    <xf numFmtId="0" fontId="62" fillId="0" borderId="5" xfId="0" applyFont="1" applyBorder="1"/>
    <xf numFmtId="0" fontId="129" fillId="0" borderId="0" xfId="0" applyFont="1"/>
    <xf numFmtId="0" fontId="130" fillId="0" borderId="0" xfId="0" applyFont="1"/>
    <xf numFmtId="0" fontId="33" fillId="0" borderId="0" xfId="0" applyFont="1"/>
    <xf numFmtId="0" fontId="128" fillId="0" borderId="4" xfId="0" applyFont="1" applyBorder="1"/>
    <xf numFmtId="0" fontId="77" fillId="0" borderId="0" xfId="0" applyFont="1"/>
    <xf numFmtId="0" fontId="128" fillId="0" borderId="5" xfId="0" applyFont="1" applyBorder="1"/>
    <xf numFmtId="0" fontId="32" fillId="38" borderId="15" xfId="0" applyFont="1" applyFill="1" applyBorder="1" applyAlignment="1" applyProtection="1">
      <alignment horizontal="center" vertical="center"/>
      <protection locked="0"/>
    </xf>
    <xf numFmtId="0" fontId="41" fillId="0" borderId="0" xfId="0" applyFont="1"/>
    <xf numFmtId="0" fontId="77" fillId="0" borderId="5" xfId="0" applyFont="1" applyBorder="1"/>
    <xf numFmtId="0" fontId="33" fillId="0" borderId="5" xfId="0" applyFont="1" applyBorder="1"/>
    <xf numFmtId="0" fontId="35" fillId="38" borderId="15" xfId="0" applyFont="1" applyFill="1" applyBorder="1" applyAlignment="1" applyProtection="1">
      <alignment horizontal="center" vertical="center"/>
      <protection locked="0"/>
    </xf>
    <xf numFmtId="0" fontId="40" fillId="0" borderId="0" xfId="0" applyFont="1" applyAlignment="1">
      <alignment horizontal="left" vertical="top"/>
    </xf>
    <xf numFmtId="0" fontId="40" fillId="0" borderId="5" xfId="0" applyFont="1" applyBorder="1" applyAlignment="1">
      <alignment horizontal="left" vertical="top"/>
    </xf>
    <xf numFmtId="0" fontId="40" fillId="0" borderId="0" xfId="0" applyFont="1" applyAlignment="1">
      <alignment vertical="top"/>
    </xf>
    <xf numFmtId="0" fontId="92" fillId="0" borderId="0" xfId="0" applyFont="1" applyAlignment="1">
      <alignment vertical="top"/>
    </xf>
    <xf numFmtId="0" fontId="40" fillId="0" borderId="0" xfId="0" applyFont="1" applyAlignment="1">
      <alignment horizontal="left"/>
    </xf>
    <xf numFmtId="0" fontId="40" fillId="0" borderId="5" xfId="0" applyFont="1" applyBorder="1" applyAlignment="1">
      <alignment horizontal="left"/>
    </xf>
    <xf numFmtId="0" fontId="29" fillId="0" borderId="126" xfId="0" applyFont="1" applyBorder="1"/>
    <xf numFmtId="0" fontId="29" fillId="0" borderId="127" xfId="0" applyFont="1" applyBorder="1"/>
    <xf numFmtId="0" fontId="33" fillId="0" borderId="127" xfId="0" applyFont="1" applyBorder="1"/>
    <xf numFmtId="0" fontId="40" fillId="0" borderId="127" xfId="0" applyFont="1" applyBorder="1"/>
    <xf numFmtId="0" fontId="40" fillId="0" borderId="128" xfId="0" applyFont="1" applyBorder="1"/>
    <xf numFmtId="0" fontId="29" fillId="6" borderId="0" xfId="0" applyFont="1" applyFill="1" applyAlignment="1">
      <alignment horizontal="center"/>
    </xf>
    <xf numFmtId="0" fontId="29" fillId="0" borderId="0" xfId="0" applyFont="1" applyProtection="1">
      <protection locked="0"/>
    </xf>
    <xf numFmtId="0" fontId="29" fillId="0" borderId="6" xfId="0" applyFont="1" applyBorder="1"/>
    <xf numFmtId="0" fontId="0" fillId="0" borderId="7" xfId="0" applyBorder="1"/>
    <xf numFmtId="0" fontId="33" fillId="0" borderId="7" xfId="0" applyFont="1" applyBorder="1"/>
    <xf numFmtId="0" fontId="29" fillId="0" borderId="8" xfId="0" applyFont="1" applyBorder="1"/>
    <xf numFmtId="0" fontId="42" fillId="0" borderId="0" xfId="2" applyFill="1" applyBorder="1" applyAlignment="1" applyProtection="1">
      <alignment horizontal="center" wrapText="1"/>
      <protection hidden="1"/>
    </xf>
    <xf numFmtId="0" fontId="42" fillId="0" borderId="0" xfId="2" applyFill="1" applyBorder="1" applyAlignment="1" applyProtection="1">
      <protection hidden="1"/>
    </xf>
    <xf numFmtId="0" fontId="42" fillId="0" borderId="0" xfId="2" applyBorder="1" applyAlignment="1" applyProtection="1">
      <protection hidden="1"/>
    </xf>
    <xf numFmtId="0" fontId="16" fillId="0" borderId="0" xfId="0" applyFont="1" applyProtection="1">
      <protection hidden="1"/>
    </xf>
    <xf numFmtId="0" fontId="131" fillId="0" borderId="8" xfId="0" applyFont="1" applyBorder="1" applyProtection="1">
      <protection hidden="1"/>
    </xf>
    <xf numFmtId="0" fontId="131" fillId="0" borderId="8" xfId="0" applyFont="1" applyBorder="1" applyAlignment="1" applyProtection="1">
      <alignment horizontal="right"/>
      <protection hidden="1"/>
    </xf>
    <xf numFmtId="0" fontId="132" fillId="0" borderId="0" xfId="0" applyFont="1" applyAlignment="1">
      <alignment horizontal="right"/>
    </xf>
    <xf numFmtId="0" fontId="132" fillId="0" borderId="8" xfId="0" applyFont="1" applyBorder="1"/>
    <xf numFmtId="4" fontId="28" fillId="18" borderId="3" xfId="0" applyNumberFormat="1" applyFont="1" applyFill="1" applyBorder="1" applyAlignment="1" applyProtection="1">
      <alignment horizontal="center"/>
      <protection locked="0"/>
    </xf>
    <xf numFmtId="0" fontId="15" fillId="0" borderId="0" xfId="0" applyFont="1" applyAlignment="1" applyProtection="1">
      <alignment vertical="center"/>
      <protection hidden="1"/>
    </xf>
    <xf numFmtId="4" fontId="28" fillId="0" borderId="9" xfId="0" applyNumberFormat="1" applyFont="1" applyBorder="1" applyAlignment="1">
      <alignment horizontal="center"/>
    </xf>
    <xf numFmtId="4" fontId="28" fillId="0" borderId="93" xfId="0" applyNumberFormat="1" applyFont="1" applyBorder="1" applyAlignment="1">
      <alignment horizontal="center"/>
    </xf>
    <xf numFmtId="4" fontId="28" fillId="0" borderId="9" xfId="0" applyNumberFormat="1" applyFont="1" applyBorder="1"/>
    <xf numFmtId="4" fontId="28" fillId="0" borderId="10" xfId="0" applyNumberFormat="1" applyFont="1" applyBorder="1"/>
    <xf numFmtId="4" fontId="28" fillId="0" borderId="92" xfId="0" applyNumberFormat="1" applyFont="1" applyBorder="1"/>
    <xf numFmtId="1" fontId="28" fillId="23" borderId="97" xfId="0" applyNumberFormat="1" applyFont="1" applyFill="1" applyBorder="1" applyAlignment="1">
      <alignment horizontal="center"/>
    </xf>
    <xf numFmtId="1" fontId="28" fillId="23" borderId="13" xfId="0" applyNumberFormat="1" applyFont="1" applyFill="1" applyBorder="1" applyAlignment="1">
      <alignment horizontal="center"/>
    </xf>
    <xf numFmtId="1" fontId="28" fillId="23" borderId="117" xfId="0" applyNumberFormat="1" applyFont="1" applyFill="1" applyBorder="1" applyAlignment="1">
      <alignment horizontal="center"/>
    </xf>
    <xf numFmtId="0" fontId="25" fillId="23" borderId="97" xfId="0" applyFont="1" applyFill="1" applyBorder="1" applyAlignment="1">
      <alignment horizontal="center"/>
    </xf>
    <xf numFmtId="0" fontId="25" fillId="23" borderId="13" xfId="0" applyFont="1" applyFill="1" applyBorder="1" applyAlignment="1">
      <alignment horizontal="center"/>
    </xf>
    <xf numFmtId="0" fontId="25" fillId="23" borderId="117" xfId="0" applyFont="1" applyFill="1" applyBorder="1" applyAlignment="1">
      <alignment horizontal="center"/>
    </xf>
    <xf numFmtId="0" fontId="25" fillId="25" borderId="97" xfId="0" applyFont="1" applyFill="1" applyBorder="1" applyAlignment="1">
      <alignment horizontal="center"/>
    </xf>
    <xf numFmtId="0" fontId="25" fillId="25" borderId="13" xfId="0" applyFont="1" applyFill="1" applyBorder="1" applyAlignment="1">
      <alignment horizontal="center"/>
    </xf>
    <xf numFmtId="0" fontId="17" fillId="25" borderId="13" xfId="0" applyFont="1" applyFill="1" applyBorder="1" applyAlignment="1">
      <alignment horizontal="center"/>
    </xf>
    <xf numFmtId="0" fontId="25" fillId="25" borderId="117" xfId="0" applyFont="1" applyFill="1" applyBorder="1" applyAlignment="1">
      <alignment horizontal="center"/>
    </xf>
    <xf numFmtId="184" fontId="127" fillId="33" borderId="14" xfId="3" applyNumberFormat="1" applyFont="1" applyFill="1" applyBorder="1" applyAlignment="1" applyProtection="1">
      <alignment horizontal="center" vertical="center"/>
      <protection hidden="1"/>
    </xf>
    <xf numFmtId="1" fontId="28" fillId="18" borderId="61" xfId="0" applyNumberFormat="1" applyFont="1" applyFill="1" applyBorder="1" applyAlignment="1" applyProtection="1">
      <alignment horizontal="center"/>
      <protection locked="0"/>
    </xf>
    <xf numFmtId="1" fontId="28" fillId="18" borderId="97" xfId="0" applyNumberFormat="1" applyFont="1" applyFill="1" applyBorder="1" applyAlignment="1" applyProtection="1">
      <alignment horizontal="center"/>
      <protection locked="0"/>
    </xf>
    <xf numFmtId="169" fontId="28" fillId="18" borderId="62" xfId="0" applyNumberFormat="1" applyFont="1" applyFill="1" applyBorder="1" applyAlignment="1" applyProtection="1">
      <alignment horizontal="center"/>
      <protection locked="0"/>
    </xf>
    <xf numFmtId="1" fontId="28" fillId="18" borderId="56" xfId="0" applyNumberFormat="1" applyFont="1" applyFill="1" applyBorder="1" applyAlignment="1" applyProtection="1">
      <alignment horizontal="center"/>
      <protection locked="0"/>
    </xf>
    <xf numFmtId="1" fontId="28" fillId="18" borderId="13" xfId="0" applyNumberFormat="1" applyFont="1" applyFill="1" applyBorder="1" applyAlignment="1" applyProtection="1">
      <alignment horizontal="center"/>
      <protection locked="0"/>
    </xf>
    <xf numFmtId="169" fontId="28" fillId="18" borderId="14" xfId="0" applyNumberFormat="1" applyFont="1" applyFill="1" applyBorder="1" applyAlignment="1" applyProtection="1">
      <alignment horizontal="center"/>
      <protection locked="0"/>
    </xf>
    <xf numFmtId="1" fontId="28" fillId="18" borderId="99" xfId="0" applyNumberFormat="1" applyFont="1" applyFill="1" applyBorder="1" applyAlignment="1" applyProtection="1">
      <alignment horizontal="center"/>
      <protection locked="0"/>
    </xf>
    <xf numFmtId="1" fontId="28" fillId="18" borderId="3" xfId="0" applyNumberFormat="1" applyFont="1" applyFill="1" applyBorder="1" applyAlignment="1" applyProtection="1">
      <alignment horizontal="center"/>
      <protection locked="0"/>
    </xf>
    <xf numFmtId="169" fontId="28" fillId="18" borderId="23" xfId="0" applyNumberFormat="1" applyFont="1" applyFill="1" applyBorder="1" applyAlignment="1" applyProtection="1">
      <alignment horizontal="center"/>
      <protection locked="0"/>
    </xf>
    <xf numFmtId="1" fontId="28" fillId="18" borderId="58" xfId="0" applyNumberFormat="1" applyFont="1" applyFill="1" applyBorder="1" applyAlignment="1" applyProtection="1">
      <alignment horizontal="center"/>
      <protection locked="0"/>
    </xf>
    <xf numFmtId="1" fontId="28" fillId="18" borderId="117" xfId="0" applyNumberFormat="1" applyFont="1" applyFill="1" applyBorder="1" applyAlignment="1" applyProtection="1">
      <alignment horizontal="center"/>
      <protection locked="0"/>
    </xf>
    <xf numFmtId="169" fontId="28" fillId="18" borderId="59" xfId="0" applyNumberFormat="1" applyFont="1" applyFill="1" applyBorder="1" applyAlignment="1" applyProtection="1">
      <alignment horizontal="center"/>
      <protection locked="0"/>
    </xf>
    <xf numFmtId="180" fontId="28" fillId="18" borderId="62" xfId="0" applyNumberFormat="1" applyFont="1" applyFill="1" applyBorder="1" applyAlignment="1" applyProtection="1">
      <alignment horizontal="center"/>
      <protection locked="0"/>
    </xf>
    <xf numFmtId="180" fontId="28" fillId="18" borderId="14" xfId="0" applyNumberFormat="1" applyFont="1" applyFill="1" applyBorder="1" applyAlignment="1" applyProtection="1">
      <alignment horizontal="center"/>
      <protection locked="0"/>
    </xf>
    <xf numFmtId="180" fontId="28" fillId="18" borderId="59" xfId="0" applyNumberFormat="1" applyFont="1" applyFill="1" applyBorder="1" applyAlignment="1" applyProtection="1">
      <alignment horizontal="center"/>
      <protection locked="0"/>
    </xf>
    <xf numFmtId="4" fontId="28" fillId="18" borderId="114" xfId="0" applyNumberFormat="1" applyFont="1" applyFill="1" applyBorder="1" applyAlignment="1" applyProtection="1">
      <alignment horizontal="center"/>
      <protection locked="0"/>
    </xf>
    <xf numFmtId="4" fontId="28" fillId="18" borderId="12" xfId="0" applyNumberFormat="1" applyFont="1" applyFill="1" applyBorder="1" applyAlignment="1" applyProtection="1">
      <alignment horizontal="center"/>
      <protection locked="0"/>
    </xf>
    <xf numFmtId="180" fontId="28" fillId="18" borderId="23" xfId="0" applyNumberFormat="1" applyFont="1" applyFill="1" applyBorder="1" applyAlignment="1" applyProtection="1">
      <alignment horizontal="center"/>
      <protection locked="0"/>
    </xf>
    <xf numFmtId="4" fontId="28" fillId="18" borderId="1" xfId="0" applyNumberFormat="1" applyFont="1" applyFill="1" applyBorder="1" applyAlignment="1" applyProtection="1">
      <alignment horizontal="center"/>
      <protection locked="0"/>
    </xf>
    <xf numFmtId="180" fontId="34" fillId="18" borderId="59" xfId="0" applyNumberFormat="1" applyFont="1" applyFill="1" applyBorder="1" applyAlignment="1" applyProtection="1">
      <alignment horizontal="center"/>
      <protection locked="0"/>
    </xf>
    <xf numFmtId="4" fontId="28" fillId="18" borderId="115" xfId="0" applyNumberFormat="1" applyFont="1" applyFill="1" applyBorder="1" applyAlignment="1" applyProtection="1">
      <alignment horizontal="center"/>
      <protection locked="0"/>
    </xf>
    <xf numFmtId="3" fontId="28" fillId="18" borderId="62" xfId="0" applyNumberFormat="1" applyFont="1" applyFill="1" applyBorder="1" applyAlignment="1" applyProtection="1">
      <alignment horizontal="center"/>
      <protection locked="0"/>
    </xf>
    <xf numFmtId="0" fontId="0" fillId="0" borderId="0" xfId="0" applyAlignment="1">
      <alignment wrapText="1"/>
    </xf>
    <xf numFmtId="0" fontId="14" fillId="0" borderId="0" xfId="0" applyFont="1" applyProtection="1">
      <protection hidden="1"/>
    </xf>
    <xf numFmtId="0" fontId="40" fillId="39" borderId="0" xfId="22" applyFill="1" applyAlignment="1">
      <alignment vertical="center" wrapText="1"/>
    </xf>
    <xf numFmtId="0" fontId="35" fillId="0" borderId="14" xfId="22" applyFont="1" applyBorder="1" applyAlignment="1">
      <alignment horizontal="center" vertical="center" wrapText="1"/>
    </xf>
    <xf numFmtId="0" fontId="13" fillId="2" borderId="13" xfId="0" applyFont="1" applyFill="1" applyBorder="1" applyAlignment="1" applyProtection="1">
      <alignment horizontal="center"/>
      <protection hidden="1"/>
    </xf>
    <xf numFmtId="0" fontId="13" fillId="2" borderId="18" xfId="0" applyFont="1" applyFill="1" applyBorder="1" applyAlignment="1" applyProtection="1">
      <alignment horizontal="center"/>
      <protection hidden="1"/>
    </xf>
    <xf numFmtId="4" fontId="18" fillId="0" borderId="14" xfId="0" applyNumberFormat="1" applyFont="1" applyBorder="1" applyAlignment="1" applyProtection="1">
      <alignment horizontal="center"/>
      <protection hidden="1"/>
    </xf>
    <xf numFmtId="165" fontId="18" fillId="6" borderId="14" xfId="3" applyNumberFormat="1" applyFont="1" applyFill="1" applyBorder="1" applyAlignment="1" applyProtection="1">
      <alignment horizontal="center" vertical="center"/>
      <protection hidden="1"/>
    </xf>
    <xf numFmtId="2" fontId="18" fillId="0" borderId="19" xfId="0" applyNumberFormat="1" applyFont="1" applyBorder="1" applyAlignment="1" applyProtection="1">
      <alignment horizontal="center"/>
      <protection hidden="1"/>
    </xf>
    <xf numFmtId="165" fontId="34" fillId="35" borderId="9" xfId="3" applyNumberFormat="1" applyFont="1" applyFill="1" applyBorder="1" applyAlignment="1" applyProtection="1">
      <alignment horizontal="center" vertical="center"/>
      <protection hidden="1"/>
    </xf>
    <xf numFmtId="0" fontId="18" fillId="0" borderId="0" xfId="0" applyFont="1" applyAlignment="1" applyProtection="1">
      <alignment horizontal="center"/>
      <protection hidden="1"/>
    </xf>
    <xf numFmtId="10" fontId="18" fillId="17" borderId="50" xfId="4" applyNumberFormat="1" applyFont="1" applyFill="1" applyBorder="1" applyAlignment="1" applyProtection="1">
      <alignment horizontal="center"/>
      <protection hidden="1"/>
    </xf>
    <xf numFmtId="0" fontId="34" fillId="34" borderId="15" xfId="0" applyFont="1" applyFill="1" applyBorder="1" applyAlignment="1" applyProtection="1">
      <alignment horizontal="left" wrapText="1"/>
      <protection hidden="1"/>
    </xf>
    <xf numFmtId="0" fontId="127" fillId="33" borderId="56" xfId="0" applyFont="1" applyFill="1" applyBorder="1" applyAlignment="1" applyProtection="1">
      <alignment horizontal="left" wrapText="1"/>
      <protection hidden="1"/>
    </xf>
    <xf numFmtId="0" fontId="12" fillId="0" borderId="0" xfId="0" applyFont="1" applyAlignment="1" applyProtection="1">
      <alignment horizontal="right"/>
      <protection hidden="1"/>
    </xf>
    <xf numFmtId="14" fontId="28" fillId="3" borderId="15" xfId="0" applyNumberFormat="1" applyFont="1" applyFill="1" applyBorder="1" applyAlignment="1" applyProtection="1">
      <alignment horizontal="center"/>
      <protection locked="0"/>
    </xf>
    <xf numFmtId="2" fontId="74" fillId="36" borderId="0" xfId="0" applyNumberFormat="1" applyFont="1" applyFill="1" applyProtection="1">
      <protection hidden="1"/>
    </xf>
    <xf numFmtId="0" fontId="135" fillId="6" borderId="0" xfId="0" applyFont="1" applyFill="1" applyProtection="1">
      <protection hidden="1"/>
    </xf>
    <xf numFmtId="1" fontId="28" fillId="0" borderId="0" xfId="0" applyNumberFormat="1" applyFont="1" applyAlignment="1" applyProtection="1">
      <alignment vertical="center"/>
      <protection hidden="1"/>
    </xf>
    <xf numFmtId="185" fontId="37" fillId="36" borderId="5" xfId="0" applyNumberFormat="1" applyFont="1" applyFill="1" applyBorder="1" applyProtection="1">
      <protection hidden="1"/>
    </xf>
    <xf numFmtId="0" fontId="11" fillId="0" borderId="0" xfId="0" applyFont="1" applyProtection="1">
      <protection hidden="1"/>
    </xf>
    <xf numFmtId="20" fontId="28" fillId="3" borderId="24" xfId="0" applyNumberFormat="1" applyFont="1" applyFill="1" applyBorder="1" applyAlignment="1" applyProtection="1">
      <alignment horizontal="center" vertical="center"/>
      <protection locked="0"/>
    </xf>
    <xf numFmtId="1" fontId="11" fillId="7" borderId="14" xfId="0" applyNumberFormat="1" applyFont="1" applyFill="1" applyBorder="1" applyAlignment="1" applyProtection="1">
      <alignment horizontal="center"/>
      <protection hidden="1"/>
    </xf>
    <xf numFmtId="0" fontId="10" fillId="0" borderId="0" xfId="0" applyFont="1" applyProtection="1">
      <protection hidden="1"/>
    </xf>
    <xf numFmtId="14" fontId="30" fillId="0" borderId="0" xfId="0" applyNumberFormat="1" applyFont="1" applyProtection="1">
      <protection hidden="1"/>
    </xf>
    <xf numFmtId="0" fontId="30" fillId="6" borderId="0" xfId="0" applyFont="1" applyFill="1" applyProtection="1">
      <protection hidden="1"/>
    </xf>
    <xf numFmtId="0" fontId="34" fillId="2" borderId="23" xfId="0" applyFont="1" applyFill="1" applyBorder="1" applyAlignment="1" applyProtection="1">
      <alignment horizontal="center" wrapText="1"/>
      <protection hidden="1"/>
    </xf>
    <xf numFmtId="187" fontId="40" fillId="2" borderId="19" xfId="0" applyNumberFormat="1" applyFont="1" applyFill="1" applyBorder="1" applyAlignment="1" applyProtection="1">
      <alignment horizontal="center" vertical="top" wrapText="1"/>
      <protection hidden="1"/>
    </xf>
    <xf numFmtId="186" fontId="35" fillId="0" borderId="0" xfId="0" applyNumberFormat="1" applyFont="1" applyAlignment="1" applyProtection="1">
      <alignment horizontal="center" wrapText="1"/>
      <protection hidden="1"/>
    </xf>
    <xf numFmtId="0" fontId="136" fillId="0" borderId="0" xfId="0" applyFont="1" applyAlignment="1">
      <alignment horizontal="left" vertical="center" indent="6"/>
    </xf>
    <xf numFmtId="0" fontId="9" fillId="0" borderId="0" xfId="0" applyFont="1" applyAlignment="1" applyProtection="1">
      <alignment vertical="center"/>
      <protection hidden="1"/>
    </xf>
    <xf numFmtId="14" fontId="8" fillId="0" borderId="129" xfId="0" applyNumberFormat="1" applyFont="1" applyBorder="1" applyAlignment="1">
      <alignment horizontal="center" vertical="top" wrapText="1"/>
    </xf>
    <xf numFmtId="0" fontId="8" fillId="0" borderId="129" xfId="0" applyFont="1" applyBorder="1" applyAlignment="1">
      <alignment vertical="top" wrapText="1"/>
    </xf>
    <xf numFmtId="0" fontId="8" fillId="0" borderId="0" xfId="0" applyFont="1"/>
    <xf numFmtId="14" fontId="8" fillId="0" borderId="24" xfId="0" applyNumberFormat="1" applyFont="1" applyBorder="1" applyAlignment="1">
      <alignment horizontal="center" vertical="top" wrapText="1"/>
    </xf>
    <xf numFmtId="0" fontId="8" fillId="0" borderId="24" xfId="0" applyFont="1" applyBorder="1" applyAlignment="1">
      <alignment vertical="top" wrapText="1"/>
    </xf>
    <xf numFmtId="14" fontId="8" fillId="0" borderId="14" xfId="0" applyNumberFormat="1" applyFont="1" applyBorder="1" applyAlignment="1">
      <alignment horizontal="center" vertical="top" wrapText="1"/>
    </xf>
    <xf numFmtId="0" fontId="8" fillId="0" borderId="14" xfId="0" applyFont="1" applyBorder="1" applyAlignment="1">
      <alignment vertical="top" wrapText="1"/>
    </xf>
    <xf numFmtId="14" fontId="8" fillId="0" borderId="133" xfId="0" applyNumberFormat="1" applyFont="1" applyBorder="1" applyAlignment="1">
      <alignment horizontal="center" vertical="top" wrapText="1"/>
    </xf>
    <xf numFmtId="0" fontId="8" fillId="0" borderId="133" xfId="0" applyFont="1" applyBorder="1" applyAlignment="1">
      <alignment vertical="top" wrapText="1"/>
    </xf>
    <xf numFmtId="14" fontId="8" fillId="0" borderId="134" xfId="0" applyNumberFormat="1" applyFont="1" applyBorder="1" applyAlignment="1">
      <alignment horizontal="center" vertical="top" wrapText="1"/>
    </xf>
    <xf numFmtId="0" fontId="8" fillId="0" borderId="134" xfId="0" applyFont="1" applyBorder="1" applyAlignment="1">
      <alignment vertical="top" wrapText="1"/>
    </xf>
    <xf numFmtId="14" fontId="8" fillId="6" borderId="130" xfId="0" applyNumberFormat="1" applyFont="1" applyFill="1" applyBorder="1" applyAlignment="1">
      <alignment horizontal="center" vertical="top" wrapText="1"/>
    </xf>
    <xf numFmtId="0" fontId="8" fillId="0" borderId="131" xfId="0" applyFont="1" applyBorder="1" applyAlignment="1">
      <alignment vertical="top" wrapText="1"/>
    </xf>
    <xf numFmtId="14" fontId="8" fillId="0" borderId="132" xfId="0" applyNumberFormat="1" applyFont="1" applyBorder="1" applyAlignment="1">
      <alignment horizontal="center" vertical="top" wrapText="1"/>
    </xf>
    <xf numFmtId="0" fontId="8" fillId="0" borderId="132" xfId="0" applyFont="1" applyBorder="1" applyAlignment="1">
      <alignment vertical="top" wrapText="1"/>
    </xf>
    <xf numFmtId="14" fontId="8" fillId="0" borderId="23" xfId="0" applyNumberFormat="1" applyFont="1" applyBorder="1" applyAlignment="1">
      <alignment horizontal="center" vertical="top" wrapText="1"/>
    </xf>
    <xf numFmtId="0" fontId="8" fillId="0" borderId="135" xfId="0" applyFont="1" applyBorder="1" applyAlignment="1">
      <alignment vertical="top" wrapText="1"/>
    </xf>
    <xf numFmtId="14" fontId="8" fillId="0" borderId="19" xfId="0" applyNumberFormat="1" applyFont="1" applyBorder="1" applyAlignment="1">
      <alignment horizontal="center" vertical="top" wrapText="1"/>
    </xf>
    <xf numFmtId="0" fontId="8" fillId="0" borderId="136" xfId="0" applyFont="1" applyBorder="1" applyAlignment="1">
      <alignment vertical="top" wrapText="1"/>
    </xf>
    <xf numFmtId="0" fontId="0" fillId="0" borderId="136" xfId="0" applyBorder="1" applyAlignment="1">
      <alignment vertical="top"/>
    </xf>
    <xf numFmtId="0" fontId="8" fillId="0" borderId="137" xfId="0" applyFont="1" applyBorder="1" applyAlignment="1">
      <alignment vertical="top" wrapText="1"/>
    </xf>
    <xf numFmtId="0" fontId="0" fillId="0" borderId="137" xfId="0" applyBorder="1" applyAlignment="1">
      <alignment vertical="top"/>
    </xf>
    <xf numFmtId="0" fontId="0" fillId="0" borderId="14" xfId="0" applyBorder="1" applyAlignment="1">
      <alignment vertical="top"/>
    </xf>
    <xf numFmtId="14" fontId="94" fillId="0" borderId="23" xfId="0" applyNumberFormat="1" applyFont="1" applyBorder="1" applyAlignment="1">
      <alignment horizontal="center" vertical="top"/>
    </xf>
    <xf numFmtId="0" fontId="94" fillId="0" borderId="135" xfId="0" applyFont="1" applyBorder="1" applyAlignment="1">
      <alignment vertical="top" wrapText="1"/>
    </xf>
    <xf numFmtId="10" fontId="94" fillId="0" borderId="135" xfId="0" applyNumberFormat="1" applyFont="1" applyBorder="1" applyAlignment="1">
      <alignment vertical="top"/>
    </xf>
    <xf numFmtId="14" fontId="8" fillId="0" borderId="19" xfId="0" applyNumberFormat="1" applyFont="1" applyBorder="1" applyAlignment="1">
      <alignment horizontal="center" vertical="top"/>
    </xf>
    <xf numFmtId="0" fontId="8" fillId="0" borderId="136" xfId="0" applyFont="1" applyBorder="1" applyAlignment="1">
      <alignment vertical="top"/>
    </xf>
    <xf numFmtId="14" fontId="8" fillId="0" borderId="24" xfId="0" applyNumberFormat="1" applyFont="1" applyBorder="1" applyAlignment="1">
      <alignment horizontal="center" vertical="top"/>
    </xf>
    <xf numFmtId="14" fontId="8" fillId="0" borderId="23" xfId="0" applyNumberFormat="1" applyFont="1" applyBorder="1" applyAlignment="1">
      <alignment horizontal="center" vertical="top"/>
    </xf>
    <xf numFmtId="14" fontId="8" fillId="0" borderId="14" xfId="0" applyNumberFormat="1" applyFont="1" applyBorder="1" applyAlignment="1">
      <alignment horizontal="center" vertical="top"/>
    </xf>
    <xf numFmtId="0" fontId="0" fillId="6" borderId="0" xfId="0" applyFill="1"/>
    <xf numFmtId="185" fontId="111" fillId="36" borderId="0" xfId="0" applyNumberFormat="1" applyFont="1" applyFill="1" applyAlignment="1" applyProtection="1">
      <alignment horizontal="center" vertical="center"/>
      <protection hidden="1"/>
    </xf>
    <xf numFmtId="20" fontId="28" fillId="6" borderId="7" xfId="0" applyNumberFormat="1" applyFont="1" applyFill="1" applyBorder="1" applyAlignment="1">
      <alignment horizontal="center" vertical="center"/>
    </xf>
    <xf numFmtId="2" fontId="39" fillId="36" borderId="0" xfId="0" applyNumberFormat="1" applyFont="1" applyFill="1" applyAlignment="1" applyProtection="1">
      <alignment horizontal="right"/>
      <protection hidden="1"/>
    </xf>
    <xf numFmtId="14" fontId="28" fillId="6" borderId="0" xfId="0" applyNumberFormat="1" applyFont="1" applyFill="1" applyAlignment="1">
      <alignment horizontal="center" vertical="top"/>
    </xf>
    <xf numFmtId="14" fontId="28" fillId="6" borderId="0" xfId="0" applyNumberFormat="1" applyFont="1" applyFill="1" applyAlignment="1">
      <alignment horizontal="right" vertical="top"/>
    </xf>
    <xf numFmtId="14" fontId="40" fillId="3" borderId="14" xfId="0" applyNumberFormat="1" applyFont="1" applyFill="1" applyBorder="1" applyAlignment="1" applyProtection="1">
      <alignment horizontal="center" vertical="center"/>
      <protection locked="0"/>
    </xf>
    <xf numFmtId="14" fontId="7" fillId="0" borderId="0" xfId="0" applyNumberFormat="1" applyFont="1" applyAlignment="1">
      <alignment horizontal="right" vertical="top"/>
    </xf>
    <xf numFmtId="0" fontId="0" fillId="6" borderId="4" xfId="0" applyFill="1" applyBorder="1" applyProtection="1">
      <protection hidden="1"/>
    </xf>
    <xf numFmtId="0" fontId="36" fillId="6" borderId="0" xfId="0" applyFont="1" applyFill="1" applyAlignment="1" applyProtection="1">
      <alignment horizontal="right"/>
      <protection hidden="1"/>
    </xf>
    <xf numFmtId="0" fontId="0" fillId="6" borderId="0" xfId="0" applyFill="1" applyProtection="1">
      <protection hidden="1"/>
    </xf>
    <xf numFmtId="0" fontId="0" fillId="6" borderId="5" xfId="0" applyFill="1" applyBorder="1" applyProtection="1">
      <protection hidden="1"/>
    </xf>
    <xf numFmtId="0" fontId="108" fillId="6" borderId="0" xfId="0" applyFont="1" applyFill="1"/>
    <xf numFmtId="0" fontId="7" fillId="6" borderId="0" xfId="0" applyFont="1" applyFill="1" applyProtection="1">
      <protection hidden="1"/>
    </xf>
    <xf numFmtId="0" fontId="135" fillId="36" borderId="0" xfId="0" applyFont="1" applyFill="1" applyProtection="1">
      <protection hidden="1"/>
    </xf>
    <xf numFmtId="0" fontId="6" fillId="40" borderId="14" xfId="0" applyFont="1" applyFill="1" applyBorder="1" applyAlignment="1">
      <alignment vertical="top" wrapText="1"/>
    </xf>
    <xf numFmtId="14" fontId="28" fillId="6" borderId="0" xfId="0" applyNumberFormat="1" applyFont="1" applyFill="1" applyAlignment="1" applyProtection="1">
      <alignment horizontal="center" vertical="center"/>
      <protection hidden="1"/>
    </xf>
    <xf numFmtId="14" fontId="40" fillId="6" borderId="0" xfId="0" applyNumberFormat="1" applyFont="1" applyFill="1" applyAlignment="1" applyProtection="1">
      <alignment horizontal="center" vertical="center"/>
      <protection hidden="1"/>
    </xf>
    <xf numFmtId="0" fontId="7" fillId="31" borderId="138" xfId="0" applyFont="1" applyFill="1" applyBorder="1" applyAlignment="1">
      <alignment vertical="top" wrapText="1"/>
    </xf>
    <xf numFmtId="0" fontId="8" fillId="31" borderId="138" xfId="0" applyFont="1" applyFill="1" applyBorder="1" applyAlignment="1">
      <alignment vertical="top" wrapText="1"/>
    </xf>
    <xf numFmtId="0" fontId="7" fillId="31" borderId="139" xfId="0" applyFont="1" applyFill="1" applyBorder="1" applyAlignment="1">
      <alignment vertical="top" wrapText="1"/>
    </xf>
    <xf numFmtId="0" fontId="5" fillId="31" borderId="139" xfId="0" applyFont="1" applyFill="1" applyBorder="1" applyAlignment="1">
      <alignment vertical="top" wrapText="1"/>
    </xf>
    <xf numFmtId="0" fontId="5" fillId="31" borderId="140" xfId="0" applyFont="1" applyFill="1" applyBorder="1" applyAlignment="1">
      <alignment vertical="top" wrapText="1"/>
    </xf>
    <xf numFmtId="0" fontId="7" fillId="31" borderId="141" xfId="0" applyFont="1" applyFill="1" applyBorder="1" applyAlignment="1">
      <alignment horizontal="left" vertical="top" wrapText="1"/>
    </xf>
    <xf numFmtId="0" fontId="5" fillId="31" borderId="139" xfId="0" applyFont="1" applyFill="1" applyBorder="1" applyAlignment="1">
      <alignment horizontal="left" vertical="top" wrapText="1"/>
    </xf>
    <xf numFmtId="0" fontId="5" fillId="31" borderId="140" xfId="0" applyFont="1" applyFill="1" applyBorder="1" applyAlignment="1">
      <alignment horizontal="left" vertical="top" wrapText="1"/>
    </xf>
    <xf numFmtId="14" fontId="8" fillId="31" borderId="19" xfId="0" applyNumberFormat="1" applyFont="1" applyFill="1" applyBorder="1" applyAlignment="1">
      <alignment horizontal="center" vertical="top"/>
    </xf>
    <xf numFmtId="14" fontId="8" fillId="31" borderId="24" xfId="0" applyNumberFormat="1" applyFont="1" applyFill="1" applyBorder="1" applyAlignment="1">
      <alignment horizontal="center" vertical="top"/>
    </xf>
    <xf numFmtId="14" fontId="8" fillId="40" borderId="14" xfId="0" applyNumberFormat="1" applyFont="1" applyFill="1" applyBorder="1" applyAlignment="1">
      <alignment horizontal="center" vertical="top"/>
    </xf>
    <xf numFmtId="10" fontId="4" fillId="0" borderId="136" xfId="0" applyNumberFormat="1" applyFont="1" applyBorder="1" applyAlignment="1">
      <alignment horizontal="left" vertical="top" wrapText="1"/>
    </xf>
    <xf numFmtId="10" fontId="4" fillId="0" borderId="137" xfId="0" applyNumberFormat="1" applyFont="1" applyBorder="1" applyAlignment="1">
      <alignment vertical="top"/>
    </xf>
    <xf numFmtId="0" fontId="40" fillId="6" borderId="0" xfId="0" applyFont="1" applyFill="1" applyAlignment="1" applyProtection="1">
      <alignment horizontal="left" vertical="top" wrapText="1"/>
      <protection hidden="1"/>
    </xf>
    <xf numFmtId="0" fontId="3" fillId="29" borderId="14" xfId="0" applyFont="1" applyFill="1" applyBorder="1"/>
    <xf numFmtId="165" fontId="28" fillId="29" borderId="14" xfId="0" applyNumberFormat="1" applyFont="1" applyFill="1" applyBorder="1"/>
    <xf numFmtId="182" fontId="28" fillId="29" borderId="14" xfId="0" applyNumberFormat="1" applyFont="1" applyFill="1" applyBorder="1"/>
    <xf numFmtId="183" fontId="28" fillId="29" borderId="14" xfId="0" applyNumberFormat="1" applyFont="1" applyFill="1" applyBorder="1"/>
    <xf numFmtId="4" fontId="28" fillId="29" borderId="14" xfId="0" applyNumberFormat="1" applyFont="1" applyFill="1" applyBorder="1"/>
    <xf numFmtId="184" fontId="28" fillId="29" borderId="14" xfId="0" applyNumberFormat="1" applyFont="1" applyFill="1" applyBorder="1"/>
    <xf numFmtId="0" fontId="70" fillId="6" borderId="4" xfId="0" applyFont="1" applyFill="1" applyBorder="1"/>
    <xf numFmtId="0" fontId="70" fillId="6" borderId="5" xfId="0" applyFont="1" applyFill="1" applyBorder="1"/>
    <xf numFmtId="0" fontId="70" fillId="6" borderId="6" xfId="0" applyFont="1" applyFill="1" applyBorder="1"/>
    <xf numFmtId="0" fontId="70" fillId="6" borderId="7" xfId="0" applyFont="1" applyFill="1" applyBorder="1"/>
    <xf numFmtId="0" fontId="70" fillId="6" borderId="8" xfId="0" applyFont="1" applyFill="1" applyBorder="1"/>
    <xf numFmtId="0" fontId="70" fillId="6" borderId="0" xfId="0" applyFont="1" applyFill="1"/>
    <xf numFmtId="0" fontId="80" fillId="6" borderId="0" xfId="0" applyFont="1" applyFill="1"/>
    <xf numFmtId="0" fontId="42" fillId="6" borderId="0" xfId="2" applyFill="1" applyBorder="1" applyAlignment="1" applyProtection="1"/>
    <xf numFmtId="0" fontId="29" fillId="6" borderId="0" xfId="0" applyFont="1" applyFill="1" applyProtection="1">
      <protection hidden="1"/>
    </xf>
    <xf numFmtId="0" fontId="29" fillId="0" borderId="0" xfId="0" applyFont="1" applyProtection="1">
      <protection hidden="1"/>
    </xf>
    <xf numFmtId="14" fontId="8" fillId="27" borderId="0" xfId="0" applyNumberFormat="1" applyFont="1" applyFill="1" applyAlignment="1">
      <alignment vertical="top"/>
    </xf>
    <xf numFmtId="0" fontId="3" fillId="27" borderId="19" xfId="0" applyFont="1" applyFill="1" applyBorder="1" applyAlignment="1">
      <alignment horizontal="left" vertical="top" wrapText="1"/>
    </xf>
    <xf numFmtId="0" fontId="3" fillId="27" borderId="19" xfId="0" applyFont="1" applyFill="1" applyBorder="1" applyAlignment="1">
      <alignment vertical="top" wrapText="1"/>
    </xf>
    <xf numFmtId="0" fontId="0" fillId="27" borderId="0" xfId="0" applyFill="1"/>
    <xf numFmtId="0" fontId="3" fillId="27" borderId="14" xfId="0" applyFont="1" applyFill="1" applyBorder="1" applyAlignment="1">
      <alignment horizontal="left" vertical="top" wrapText="1"/>
    </xf>
    <xf numFmtId="0" fontId="3" fillId="27" borderId="14" xfId="0" applyFont="1" applyFill="1" applyBorder="1" applyAlignment="1">
      <alignment vertical="top" wrapText="1"/>
    </xf>
    <xf numFmtId="0" fontId="0" fillId="27" borderId="14" xfId="0" applyFill="1" applyBorder="1"/>
    <xf numFmtId="0" fontId="0" fillId="27" borderId="13" xfId="0" applyFill="1" applyBorder="1"/>
    <xf numFmtId="0" fontId="2" fillId="27" borderId="19" xfId="0" applyFont="1" applyFill="1" applyBorder="1" applyAlignment="1">
      <alignment horizontal="left" vertical="top" wrapText="1"/>
    </xf>
    <xf numFmtId="0" fontId="2" fillId="27" borderId="19" xfId="0" applyFont="1" applyFill="1" applyBorder="1" applyAlignment="1">
      <alignment vertical="top" wrapText="1"/>
    </xf>
    <xf numFmtId="0" fontId="0" fillId="27" borderId="23" xfId="0" applyFill="1" applyBorder="1"/>
    <xf numFmtId="0" fontId="0" fillId="27" borderId="3" xfId="0" applyFill="1" applyBorder="1"/>
    <xf numFmtId="0" fontId="2" fillId="27" borderId="14" xfId="0" applyFont="1" applyFill="1" applyBorder="1" applyAlignment="1">
      <alignment horizontal="left" vertical="top" wrapText="1"/>
    </xf>
    <xf numFmtId="0" fontId="2" fillId="27" borderId="14" xfId="0" applyFont="1" applyFill="1" applyBorder="1" applyAlignment="1">
      <alignment vertical="top" wrapText="1"/>
    </xf>
    <xf numFmtId="0" fontId="67" fillId="0" borderId="0" xfId="0" applyFont="1" applyAlignment="1" applyProtection="1">
      <alignment horizontal="right"/>
      <protection hidden="1"/>
    </xf>
    <xf numFmtId="2" fontId="45" fillId="0" borderId="0" xfId="0" applyNumberFormat="1" applyFont="1" applyAlignment="1" applyProtection="1">
      <alignment horizontal="center"/>
      <protection hidden="1"/>
    </xf>
    <xf numFmtId="2" fontId="45" fillId="0" borderId="0" xfId="0" applyNumberFormat="1" applyFont="1" applyProtection="1">
      <protection hidden="1"/>
    </xf>
    <xf numFmtId="0" fontId="133" fillId="39" borderId="0" xfId="22" applyFont="1" applyFill="1" applyAlignment="1">
      <alignment horizontal="center" vertical="center" wrapText="1"/>
    </xf>
    <xf numFmtId="0" fontId="0" fillId="0" borderId="0" xfId="0" applyAlignment="1">
      <alignment vertical="center" wrapText="1"/>
    </xf>
    <xf numFmtId="0" fontId="8" fillId="0" borderId="135" xfId="0" applyFont="1" applyBorder="1" applyAlignment="1">
      <alignment horizontal="left" vertical="top" wrapText="1"/>
    </xf>
    <xf numFmtId="0" fontId="8" fillId="0" borderId="136" xfId="0" applyFont="1" applyBorder="1" applyAlignment="1">
      <alignment horizontal="left" vertical="top" wrapText="1"/>
    </xf>
    <xf numFmtId="0" fontId="8" fillId="0" borderId="137" xfId="0" applyFont="1" applyBorder="1" applyAlignment="1">
      <alignment horizontal="left" vertical="top" wrapText="1"/>
    </xf>
    <xf numFmtId="0" fontId="7" fillId="31" borderId="141" xfId="0" applyFont="1" applyFill="1" applyBorder="1" applyAlignment="1">
      <alignment horizontal="left" vertical="top" wrapText="1"/>
    </xf>
    <xf numFmtId="0" fontId="7" fillId="31" borderId="139" xfId="0" applyFont="1" applyFill="1" applyBorder="1" applyAlignment="1">
      <alignment horizontal="left" vertical="top" wrapText="1"/>
    </xf>
    <xf numFmtId="0" fontId="7" fillId="31" borderId="142" xfId="0" applyFont="1" applyFill="1" applyBorder="1" applyAlignment="1">
      <alignment horizontal="left" vertical="top" wrapText="1"/>
    </xf>
    <xf numFmtId="14" fontId="8" fillId="31" borderId="23" xfId="0" applyNumberFormat="1" applyFont="1" applyFill="1" applyBorder="1" applyAlignment="1">
      <alignment horizontal="center" vertical="top"/>
    </xf>
    <xf numFmtId="14" fontId="8" fillId="31" borderId="19" xfId="0" applyNumberFormat="1" applyFont="1" applyFill="1" applyBorder="1" applyAlignment="1">
      <alignment horizontal="center" vertical="top"/>
    </xf>
    <xf numFmtId="0" fontId="6" fillId="31" borderId="139" xfId="0" applyFont="1" applyFill="1" applyBorder="1" applyAlignment="1">
      <alignment horizontal="left" vertical="top" wrapText="1"/>
    </xf>
    <xf numFmtId="0" fontId="7" fillId="0" borderId="0" xfId="0" applyFont="1" applyAlignment="1">
      <alignment horizontal="center"/>
    </xf>
    <xf numFmtId="0" fontId="7" fillId="26" borderId="7" xfId="0" applyFont="1" applyFill="1" applyBorder="1" applyAlignment="1" applyProtection="1">
      <alignment horizontal="center"/>
      <protection locked="0"/>
    </xf>
    <xf numFmtId="0" fontId="40" fillId="4" borderId="7" xfId="0" applyFont="1" applyFill="1" applyBorder="1" applyAlignment="1" applyProtection="1">
      <alignment horizontal="left"/>
      <protection locked="0"/>
    </xf>
    <xf numFmtId="49" fontId="40" fillId="4" borderId="7" xfId="0" applyNumberFormat="1" applyFont="1" applyFill="1" applyBorder="1" applyAlignment="1" applyProtection="1">
      <alignment horizontal="left"/>
      <protection locked="0"/>
    </xf>
    <xf numFmtId="49" fontId="40" fillId="4" borderId="7" xfId="0" applyNumberFormat="1" applyFont="1" applyFill="1" applyBorder="1" applyProtection="1">
      <protection locked="0"/>
    </xf>
    <xf numFmtId="49" fontId="0" fillId="0" borderId="7" xfId="0" applyNumberFormat="1" applyBorder="1" applyProtection="1">
      <protection locked="0"/>
    </xf>
    <xf numFmtId="49" fontId="42" fillId="4" borderId="7" xfId="2" applyNumberFormat="1" applyFill="1" applyBorder="1" applyAlignment="1" applyProtection="1">
      <alignment horizontal="left"/>
      <protection locked="0"/>
    </xf>
    <xf numFmtId="49" fontId="0" fillId="0" borderId="7" xfId="0" applyNumberFormat="1" applyBorder="1" applyAlignment="1" applyProtection="1">
      <alignment horizontal="left"/>
      <protection locked="0"/>
    </xf>
    <xf numFmtId="0" fontId="0" fillId="0" borderId="7" xfId="0" applyBorder="1" applyProtection="1">
      <protection locked="0"/>
    </xf>
    <xf numFmtId="0" fontId="32" fillId="2" borderId="1" xfId="0" applyFont="1" applyFill="1" applyBorder="1" applyAlignment="1" applyProtection="1">
      <alignment horizontal="center"/>
      <protection hidden="1"/>
    </xf>
    <xf numFmtId="0" fontId="32" fillId="2" borderId="2" xfId="0" applyFont="1" applyFill="1" applyBorder="1" applyAlignment="1" applyProtection="1">
      <alignment horizontal="center"/>
      <protection hidden="1"/>
    </xf>
    <xf numFmtId="0" fontId="32" fillId="2" borderId="3" xfId="0" applyFont="1" applyFill="1" applyBorder="1" applyAlignment="1" applyProtection="1">
      <alignment horizontal="center"/>
      <protection hidden="1"/>
    </xf>
    <xf numFmtId="0" fontId="32" fillId="2" borderId="4" xfId="0" applyFont="1" applyFill="1" applyBorder="1" applyAlignment="1" applyProtection="1">
      <alignment horizontal="center"/>
      <protection hidden="1"/>
    </xf>
    <xf numFmtId="0" fontId="32" fillId="2" borderId="0" xfId="0" applyFont="1" applyFill="1" applyAlignment="1" applyProtection="1">
      <alignment horizontal="center"/>
      <protection hidden="1"/>
    </xf>
    <xf numFmtId="0" fontId="32" fillId="2" borderId="5" xfId="0" applyFont="1" applyFill="1" applyBorder="1" applyAlignment="1" applyProtection="1">
      <alignment horizontal="center"/>
      <protection hidden="1"/>
    </xf>
    <xf numFmtId="0" fontId="28" fillId="3" borderId="9" xfId="0" applyFont="1" applyFill="1" applyBorder="1" applyAlignment="1" applyProtection="1">
      <alignment horizontal="center"/>
      <protection locked="0"/>
    </xf>
    <xf numFmtId="0" fontId="28" fillId="3" borderId="10" xfId="0" applyFont="1" applyFill="1" applyBorder="1" applyAlignment="1" applyProtection="1">
      <alignment horizontal="center"/>
      <protection locked="0"/>
    </xf>
    <xf numFmtId="0" fontId="28" fillId="3" borderId="11" xfId="0" applyFont="1" applyFill="1" applyBorder="1" applyAlignment="1" applyProtection="1">
      <alignment horizontal="center"/>
      <protection locked="0"/>
    </xf>
    <xf numFmtId="14" fontId="134" fillId="0" borderId="1" xfId="0" applyNumberFormat="1" applyFont="1" applyBorder="1" applyAlignment="1" applyProtection="1">
      <alignment horizontal="center"/>
      <protection hidden="1"/>
    </xf>
    <xf numFmtId="0" fontId="134" fillId="0" borderId="2" xfId="0" applyFont="1" applyBorder="1" applyAlignment="1">
      <alignment horizontal="center"/>
    </xf>
    <xf numFmtId="0" fontId="24" fillId="3" borderId="12" xfId="0" applyFont="1" applyFill="1" applyBorder="1" applyAlignment="1" applyProtection="1">
      <alignment horizontal="center"/>
      <protection locked="0"/>
    </xf>
    <xf numFmtId="0" fontId="24" fillId="3" borderId="13" xfId="0" applyFont="1" applyFill="1" applyBorder="1" applyAlignment="1" applyProtection="1">
      <alignment horizontal="center"/>
      <protection locked="0"/>
    </xf>
    <xf numFmtId="14" fontId="33" fillId="3" borderId="14" xfId="0" applyNumberFormat="1" applyFont="1" applyFill="1" applyBorder="1" applyAlignment="1" applyProtection="1">
      <alignment horizontal="center"/>
      <protection locked="0"/>
    </xf>
    <xf numFmtId="0" fontId="42" fillId="5" borderId="9" xfId="2" applyFill="1" applyBorder="1" applyAlignment="1" applyProtection="1">
      <alignment horizontal="center" wrapText="1"/>
      <protection hidden="1"/>
    </xf>
    <xf numFmtId="0" fontId="42" fillId="0" borderId="10" xfId="2" applyBorder="1" applyAlignment="1" applyProtection="1">
      <protection hidden="1"/>
    </xf>
    <xf numFmtId="0" fontId="42" fillId="0" borderId="11" xfId="2" applyBorder="1" applyAlignment="1" applyProtection="1">
      <protection hidden="1"/>
    </xf>
    <xf numFmtId="49" fontId="42" fillId="4" borderId="7" xfId="2" applyNumberFormat="1" applyFill="1" applyBorder="1" applyAlignment="1" applyProtection="1">
      <protection locked="0"/>
    </xf>
    <xf numFmtId="0" fontId="40" fillId="4" borderId="7" xfId="0" applyFont="1" applyFill="1" applyBorder="1" applyProtection="1">
      <protection locked="0"/>
    </xf>
    <xf numFmtId="0" fontId="40" fillId="4" borderId="7" xfId="0" applyFont="1" applyFill="1" applyBorder="1" applyAlignment="1" applyProtection="1">
      <alignment vertical="top"/>
      <protection locked="0"/>
    </xf>
    <xf numFmtId="0" fontId="28" fillId="0" borderId="0" xfId="0" applyFont="1" applyAlignment="1">
      <alignment horizontal="center"/>
    </xf>
    <xf numFmtId="0" fontId="33" fillId="2" borderId="4" xfId="0" applyFont="1" applyFill="1" applyBorder="1" applyAlignment="1" applyProtection="1">
      <alignment horizontal="center"/>
      <protection hidden="1"/>
    </xf>
    <xf numFmtId="0" fontId="33" fillId="2" borderId="0" xfId="0" applyFont="1" applyFill="1" applyAlignment="1" applyProtection="1">
      <alignment horizontal="center"/>
      <protection hidden="1"/>
    </xf>
    <xf numFmtId="0" fontId="33" fillId="2" borderId="5" xfId="0" applyFont="1" applyFill="1" applyBorder="1" applyAlignment="1" applyProtection="1">
      <alignment horizontal="center"/>
      <protection hidden="1"/>
    </xf>
    <xf numFmtId="0" fontId="33" fillId="2" borderId="6" xfId="0" applyFont="1" applyFill="1" applyBorder="1" applyAlignment="1" applyProtection="1">
      <alignment horizontal="center"/>
      <protection hidden="1"/>
    </xf>
    <xf numFmtId="0" fontId="33" fillId="2" borderId="7" xfId="0" applyFont="1" applyFill="1" applyBorder="1" applyAlignment="1" applyProtection="1">
      <alignment horizontal="center"/>
      <protection hidden="1"/>
    </xf>
    <xf numFmtId="0" fontId="33" fillId="2" borderId="8" xfId="0" applyFont="1" applyFill="1" applyBorder="1" applyAlignment="1" applyProtection="1">
      <alignment horizontal="center"/>
      <protection hidden="1"/>
    </xf>
    <xf numFmtId="0" fontId="28" fillId="2" borderId="31" xfId="0" applyFont="1" applyFill="1" applyBorder="1" applyAlignment="1" applyProtection="1">
      <alignment horizontal="left"/>
      <protection hidden="1"/>
    </xf>
    <xf numFmtId="0" fontId="0" fillId="0" borderId="32" xfId="0" applyBorder="1" applyAlignment="1">
      <alignment horizontal="left"/>
    </xf>
    <xf numFmtId="0" fontId="28" fillId="2" borderId="4" xfId="0" applyFont="1" applyFill="1" applyBorder="1" applyAlignment="1" applyProtection="1">
      <alignment horizontal="left"/>
      <protection hidden="1"/>
    </xf>
    <xf numFmtId="0" fontId="0" fillId="0" borderId="0" xfId="0" applyAlignment="1">
      <alignment horizontal="left"/>
    </xf>
    <xf numFmtId="0" fontId="28" fillId="2" borderId="1" xfId="0" applyFont="1" applyFill="1" applyBorder="1" applyAlignment="1" applyProtection="1">
      <alignment horizontal="center" vertical="center" wrapText="1"/>
      <protection hidden="1"/>
    </xf>
    <xf numFmtId="0" fontId="28" fillId="2" borderId="3" xfId="0" applyFont="1" applyFill="1" applyBorder="1" applyAlignment="1" applyProtection="1">
      <alignment horizontal="center" vertical="center" wrapText="1"/>
      <protection hidden="1"/>
    </xf>
    <xf numFmtId="3" fontId="34" fillId="23" borderId="9" xfId="0" applyNumberFormat="1" applyFont="1" applyFill="1" applyBorder="1" applyAlignment="1">
      <alignment horizontal="center"/>
    </xf>
    <xf numFmtId="3" fontId="34" fillId="23" borderId="10" xfId="0" applyNumberFormat="1" applyFont="1" applyFill="1" applyBorder="1" applyAlignment="1">
      <alignment horizontal="center"/>
    </xf>
    <xf numFmtId="3" fontId="34" fillId="23" borderId="11" xfId="0" applyNumberFormat="1" applyFont="1" applyFill="1" applyBorder="1" applyAlignment="1">
      <alignment horizontal="center"/>
    </xf>
    <xf numFmtId="183" fontId="76" fillId="34" borderId="9" xfId="3" applyNumberFormat="1" applyFont="1" applyFill="1" applyBorder="1" applyAlignment="1" applyProtection="1">
      <alignment horizontal="center" vertical="center"/>
      <protection hidden="1"/>
    </xf>
    <xf numFmtId="183" fontId="76" fillId="34" borderId="10" xfId="3" applyNumberFormat="1" applyFont="1" applyFill="1" applyBorder="1" applyAlignment="1" applyProtection="1">
      <alignment horizontal="center" vertical="center"/>
      <protection hidden="1"/>
    </xf>
    <xf numFmtId="183" fontId="76" fillId="34" borderId="11" xfId="3" applyNumberFormat="1" applyFont="1" applyFill="1" applyBorder="1" applyAlignment="1" applyProtection="1">
      <alignment horizontal="center" vertical="center"/>
      <protection hidden="1"/>
    </xf>
    <xf numFmtId="184" fontId="127" fillId="33" borderId="12" xfId="3" applyNumberFormat="1" applyFont="1" applyFill="1" applyBorder="1" applyAlignment="1" applyProtection="1">
      <alignment horizontal="center" vertical="center"/>
      <protection hidden="1"/>
    </xf>
    <xf numFmtId="184" fontId="127" fillId="33" borderId="13" xfId="3" applyNumberFormat="1" applyFont="1" applyFill="1" applyBorder="1" applyAlignment="1" applyProtection="1">
      <alignment horizontal="center" vertical="center"/>
      <protection hidden="1"/>
    </xf>
    <xf numFmtId="181" fontId="45" fillId="0" borderId="12" xfId="0" applyNumberFormat="1" applyFont="1" applyBorder="1" applyAlignment="1">
      <alignment horizontal="center"/>
    </xf>
    <xf numFmtId="0" fontId="45" fillId="0" borderId="18" xfId="0" applyFont="1" applyBorder="1" applyAlignment="1">
      <alignment horizontal="center"/>
    </xf>
    <xf numFmtId="0" fontId="45" fillId="0" borderId="13" xfId="0" applyFont="1" applyBorder="1" applyAlignment="1">
      <alignment horizontal="center"/>
    </xf>
    <xf numFmtId="165" fontId="18" fillId="0" borderId="14" xfId="3" applyNumberFormat="1" applyFont="1" applyBorder="1" applyAlignment="1" applyProtection="1">
      <alignment horizontal="center" vertical="center"/>
      <protection hidden="1"/>
    </xf>
    <xf numFmtId="181" fontId="52" fillId="0" borderId="12" xfId="0" applyNumberFormat="1" applyFont="1" applyBorder="1" applyAlignment="1">
      <alignment horizontal="center"/>
    </xf>
    <xf numFmtId="0" fontId="52" fillId="0" borderId="18" xfId="0" applyFont="1" applyBorder="1" applyAlignment="1">
      <alignment horizontal="center"/>
    </xf>
    <xf numFmtId="0" fontId="52" fillId="0" borderId="13" xfId="0" applyFont="1" applyBorder="1" applyAlignment="1">
      <alignment horizontal="center"/>
    </xf>
    <xf numFmtId="4" fontId="18" fillId="0" borderId="12" xfId="0" applyNumberFormat="1" applyFont="1" applyBorder="1" applyAlignment="1" applyProtection="1">
      <alignment horizontal="center"/>
      <protection hidden="1"/>
    </xf>
    <xf numFmtId="0" fontId="18" fillId="0" borderId="13" xfId="0" applyFont="1" applyBorder="1" applyAlignment="1" applyProtection="1">
      <alignment horizontal="center"/>
      <protection hidden="1"/>
    </xf>
    <xf numFmtId="10" fontId="18" fillId="17" borderId="112" xfId="4" applyNumberFormat="1" applyFont="1" applyFill="1" applyBorder="1" applyAlignment="1" applyProtection="1">
      <alignment horizontal="center"/>
      <protection hidden="1"/>
    </xf>
    <xf numFmtId="10" fontId="18" fillId="17" borderId="50" xfId="4" applyNumberFormat="1" applyFont="1" applyFill="1" applyBorder="1" applyAlignment="1" applyProtection="1">
      <alignment horizontal="center"/>
      <protection hidden="1"/>
    </xf>
    <xf numFmtId="4" fontId="18" fillId="0" borderId="14" xfId="0" applyNumberFormat="1" applyFont="1" applyBorder="1" applyAlignment="1" applyProtection="1">
      <alignment horizontal="center"/>
      <protection hidden="1"/>
    </xf>
    <xf numFmtId="0" fontId="18" fillId="0" borderId="14" xfId="0" applyFont="1" applyBorder="1" applyAlignment="1" applyProtection="1">
      <alignment horizontal="center"/>
      <protection hidden="1"/>
    </xf>
    <xf numFmtId="4" fontId="18" fillId="0" borderId="23" xfId="0" applyNumberFormat="1" applyFont="1" applyBorder="1" applyAlignment="1" applyProtection="1">
      <alignment horizontal="center"/>
      <protection hidden="1"/>
    </xf>
    <xf numFmtId="0" fontId="18" fillId="0" borderId="23" xfId="0" applyFont="1" applyBorder="1" applyAlignment="1" applyProtection="1">
      <alignment horizontal="center"/>
      <protection hidden="1"/>
    </xf>
    <xf numFmtId="10" fontId="18" fillId="17" borderId="53" xfId="4" applyNumberFormat="1" applyFont="1" applyFill="1" applyBorder="1" applyAlignment="1" applyProtection="1">
      <alignment horizontal="center"/>
      <protection hidden="1"/>
    </xf>
    <xf numFmtId="10" fontId="18" fillId="17" borderId="35" xfId="4" applyNumberFormat="1" applyFont="1" applyFill="1" applyBorder="1" applyAlignment="1" applyProtection="1">
      <alignment horizontal="center"/>
      <protection hidden="1"/>
    </xf>
    <xf numFmtId="2" fontId="18" fillId="0" borderId="19" xfId="0" applyNumberFormat="1" applyFont="1" applyBorder="1" applyAlignment="1" applyProtection="1">
      <alignment horizontal="center"/>
      <protection hidden="1"/>
    </xf>
    <xf numFmtId="2" fontId="18" fillId="0" borderId="23" xfId="0" applyNumberFormat="1" applyFont="1" applyBorder="1" applyAlignment="1" applyProtection="1">
      <alignment horizontal="center"/>
      <protection hidden="1"/>
    </xf>
    <xf numFmtId="182" fontId="34" fillId="35" borderId="9" xfId="3" applyNumberFormat="1" applyFont="1" applyFill="1" applyBorder="1" applyAlignment="1" applyProtection="1">
      <alignment horizontal="center" vertical="center"/>
      <protection hidden="1"/>
    </xf>
    <xf numFmtId="182" fontId="34" fillId="35" borderId="11" xfId="3" applyNumberFormat="1" applyFont="1" applyFill="1" applyBorder="1" applyAlignment="1" applyProtection="1">
      <alignment horizontal="center" vertical="center"/>
      <protection hidden="1"/>
    </xf>
    <xf numFmtId="181" fontId="39" fillId="0" borderId="12" xfId="0" applyNumberFormat="1" applyFont="1" applyBorder="1" applyAlignment="1">
      <alignment horizontal="center"/>
    </xf>
    <xf numFmtId="0" fontId="39" fillId="0" borderId="18" xfId="0" applyFont="1" applyBorder="1" applyAlignment="1">
      <alignment horizontal="center"/>
    </xf>
    <xf numFmtId="0" fontId="39" fillId="0" borderId="13" xfId="0" applyFont="1" applyBorder="1" applyAlignment="1">
      <alignment horizontal="center"/>
    </xf>
    <xf numFmtId="0" fontId="18" fillId="23" borderId="61" xfId="0" applyFont="1" applyFill="1" applyBorder="1" applyAlignment="1">
      <alignment horizontal="center"/>
    </xf>
    <xf numFmtId="0" fontId="18" fillId="23" borderId="63" xfId="0" applyFont="1" applyFill="1" applyBorder="1" applyAlignment="1">
      <alignment horizontal="center"/>
    </xf>
    <xf numFmtId="0" fontId="18" fillId="23" borderId="95" xfId="0" applyFont="1" applyFill="1" applyBorder="1" applyAlignment="1">
      <alignment horizontal="center"/>
    </xf>
    <xf numFmtId="0" fontId="18" fillId="23" borderId="96" xfId="0" applyFont="1" applyFill="1" applyBorder="1" applyAlignment="1">
      <alignment horizontal="center"/>
    </xf>
    <xf numFmtId="0" fontId="18" fillId="0" borderId="58" xfId="0" applyFont="1" applyBorder="1" applyAlignment="1">
      <alignment horizontal="center"/>
    </xf>
    <xf numFmtId="0" fontId="18" fillId="0" borderId="60" xfId="0" applyFont="1" applyBorder="1" applyAlignment="1">
      <alignment horizontal="center"/>
    </xf>
    <xf numFmtId="0" fontId="18" fillId="0" borderId="124" xfId="0" applyFont="1" applyBorder="1" applyAlignment="1">
      <alignment horizontal="center"/>
    </xf>
    <xf numFmtId="0" fontId="18" fillId="0" borderId="125" xfId="0" applyFont="1" applyBorder="1" applyAlignment="1">
      <alignment horizontal="center"/>
    </xf>
    <xf numFmtId="165" fontId="18" fillId="6" borderId="14" xfId="3" applyNumberFormat="1" applyFont="1" applyFill="1" applyBorder="1" applyAlignment="1" applyProtection="1">
      <alignment horizontal="center" vertical="center"/>
      <protection hidden="1"/>
    </xf>
    <xf numFmtId="4" fontId="28" fillId="0" borderId="9" xfId="0" applyNumberFormat="1" applyFont="1" applyBorder="1" applyAlignment="1">
      <alignment horizontal="center"/>
    </xf>
    <xf numFmtId="4" fontId="28" fillId="0" borderId="10" xfId="0" applyNumberFormat="1" applyFont="1" applyBorder="1" applyAlignment="1">
      <alignment horizontal="center"/>
    </xf>
    <xf numFmtId="4" fontId="28" fillId="0" borderId="11" xfId="0" applyNumberFormat="1" applyFont="1" applyBorder="1" applyAlignment="1">
      <alignment horizontal="center"/>
    </xf>
    <xf numFmtId="4" fontId="34" fillId="0" borderId="9" xfId="0" applyNumberFormat="1" applyFont="1" applyBorder="1" applyAlignment="1">
      <alignment horizontal="center"/>
    </xf>
    <xf numFmtId="4" fontId="34" fillId="0" borderId="10" xfId="0" applyNumberFormat="1" applyFont="1" applyBorder="1" applyAlignment="1">
      <alignment horizontal="center"/>
    </xf>
    <xf numFmtId="4" fontId="34" fillId="0" borderId="11" xfId="0" applyNumberFormat="1" applyFont="1" applyBorder="1" applyAlignment="1">
      <alignment horizontal="center"/>
    </xf>
    <xf numFmtId="4" fontId="28" fillId="0" borderId="92" xfId="0" applyNumberFormat="1" applyFont="1" applyBorder="1" applyAlignment="1">
      <alignment horizontal="center"/>
    </xf>
    <xf numFmtId="4" fontId="28" fillId="0" borderId="93" xfId="0" applyNumberFormat="1" applyFont="1" applyBorder="1" applyAlignment="1">
      <alignment horizontal="center"/>
    </xf>
    <xf numFmtId="4" fontId="28" fillId="0" borderId="94" xfId="0" applyNumberFormat="1" applyFont="1" applyBorder="1" applyAlignment="1">
      <alignment horizontal="center"/>
    </xf>
    <xf numFmtId="0" fontId="35" fillId="13" borderId="23" xfId="0" applyFont="1" applyFill="1" applyBorder="1" applyAlignment="1">
      <alignment horizontal="center" vertical="center" wrapText="1"/>
    </xf>
    <xf numFmtId="0" fontId="35" fillId="13" borderId="19" xfId="0" applyFont="1" applyFill="1" applyBorder="1" applyAlignment="1">
      <alignment horizontal="center" vertical="center" wrapText="1"/>
    </xf>
    <xf numFmtId="0" fontId="35" fillId="13" borderId="24" xfId="0" applyFont="1" applyFill="1" applyBorder="1" applyAlignment="1">
      <alignment horizontal="center" vertical="center" wrapText="1"/>
    </xf>
    <xf numFmtId="0" fontId="35" fillId="13" borderId="14" xfId="0" applyFont="1" applyFill="1" applyBorder="1" applyAlignment="1">
      <alignment horizontal="center" vertical="center" wrapText="1"/>
    </xf>
    <xf numFmtId="0" fontId="35" fillId="7" borderId="92" xfId="7" applyFont="1" applyFill="1" applyBorder="1" applyAlignment="1" applyProtection="1">
      <alignment horizontal="center" vertical="center"/>
    </xf>
    <xf numFmtId="0" fontId="35" fillId="7" borderId="93" xfId="7" applyFont="1" applyFill="1" applyBorder="1" applyAlignment="1" applyProtection="1">
      <alignment horizontal="center" vertical="center"/>
    </xf>
    <xf numFmtId="0" fontId="0" fillId="0" borderId="93" xfId="0" applyBorder="1" applyAlignment="1">
      <alignment vertical="center"/>
    </xf>
    <xf numFmtId="0" fontId="0" fillId="0" borderId="94" xfId="0" applyBorder="1" applyAlignment="1">
      <alignment vertical="center"/>
    </xf>
    <xf numFmtId="0" fontId="35" fillId="7" borderId="88" xfId="7" applyFont="1" applyFill="1" applyBorder="1" applyAlignment="1" applyProtection="1">
      <alignment horizontal="center" vertical="center"/>
    </xf>
    <xf numFmtId="0" fontId="0" fillId="0" borderId="88" xfId="0" applyBorder="1" applyAlignment="1">
      <alignment horizontal="center" vertical="center"/>
    </xf>
    <xf numFmtId="0" fontId="0" fillId="0" borderId="90" xfId="0" applyBorder="1" applyAlignment="1">
      <alignment horizontal="center" vertical="center"/>
    </xf>
    <xf numFmtId="0" fontId="42" fillId="0" borderId="10" xfId="2" applyBorder="1" applyAlignment="1" applyProtection="1"/>
    <xf numFmtId="0" fontId="42" fillId="0" borderId="11" xfId="2" applyBorder="1" applyAlignment="1" applyProtection="1"/>
    <xf numFmtId="0" fontId="94" fillId="6" borderId="0" xfId="0" applyFont="1" applyFill="1" applyAlignment="1">
      <alignment horizontal="center" vertical="center" wrapText="1"/>
    </xf>
    <xf numFmtId="0" fontId="35" fillId="28" borderId="12" xfId="0" applyFont="1" applyFill="1" applyBorder="1" applyAlignment="1">
      <alignment horizontal="center" vertical="center"/>
    </xf>
    <xf numFmtId="0" fontId="35" fillId="28" borderId="18" xfId="0" applyFont="1" applyFill="1" applyBorder="1" applyAlignment="1">
      <alignment horizontal="center" vertical="center"/>
    </xf>
    <xf numFmtId="0" fontId="35" fillId="28" borderId="13" xfId="0" applyFont="1" applyFill="1" applyBorder="1" applyAlignment="1">
      <alignment horizontal="center" vertical="center"/>
    </xf>
    <xf numFmtId="14" fontId="35" fillId="18" borderId="12" xfId="0" applyNumberFormat="1" applyFont="1" applyFill="1" applyBorder="1" applyAlignment="1" applyProtection="1">
      <alignment horizontal="left" vertical="center"/>
      <protection locked="0"/>
    </xf>
    <xf numFmtId="14" fontId="35" fillId="18" borderId="18" xfId="0" applyNumberFormat="1" applyFont="1" applyFill="1" applyBorder="1" applyAlignment="1" applyProtection="1">
      <alignment horizontal="left" vertical="center"/>
      <protection locked="0"/>
    </xf>
    <xf numFmtId="14" fontId="35" fillId="18" borderId="13" xfId="0" applyNumberFormat="1" applyFont="1" applyFill="1" applyBorder="1" applyAlignment="1" applyProtection="1">
      <alignment horizontal="left" vertical="center"/>
      <protection locked="0"/>
    </xf>
    <xf numFmtId="0" fontId="35" fillId="28" borderId="12" xfId="0" applyFont="1" applyFill="1" applyBorder="1" applyAlignment="1">
      <alignment horizontal="center" vertical="center" wrapText="1"/>
    </xf>
    <xf numFmtId="0" fontId="35" fillId="28" borderId="13" xfId="0" applyFont="1" applyFill="1" applyBorder="1" applyAlignment="1">
      <alignment horizontal="center" vertical="center" wrapText="1"/>
    </xf>
    <xf numFmtId="0" fontId="35" fillId="18" borderId="12" xfId="0" applyFont="1" applyFill="1" applyBorder="1" applyAlignment="1" applyProtection="1">
      <alignment horizontal="left" vertical="center"/>
      <protection locked="0"/>
    </xf>
    <xf numFmtId="0" fontId="35" fillId="18" borderId="18" xfId="0" applyFont="1" applyFill="1" applyBorder="1" applyAlignment="1" applyProtection="1">
      <alignment horizontal="left" vertical="center"/>
      <protection locked="0"/>
    </xf>
    <xf numFmtId="0" fontId="35" fillId="18" borderId="13" xfId="0" applyFont="1" applyFill="1" applyBorder="1" applyAlignment="1" applyProtection="1">
      <alignment horizontal="left" vertical="center"/>
      <protection locked="0"/>
    </xf>
    <xf numFmtId="0" fontId="67" fillId="2" borderId="89" xfId="6" applyFont="1" applyFill="1" applyBorder="1" applyAlignment="1" applyProtection="1">
      <alignment horizontal="center" vertical="center"/>
    </xf>
    <xf numFmtId="0" fontId="67" fillId="2" borderId="88" xfId="6" applyFont="1" applyFill="1" applyBorder="1" applyAlignment="1" applyProtection="1">
      <alignment horizontal="center" vertical="center"/>
    </xf>
    <xf numFmtId="0" fontId="67" fillId="2" borderId="90" xfId="6" applyFont="1" applyFill="1" applyBorder="1" applyAlignment="1" applyProtection="1">
      <alignment horizontal="center" vertical="center"/>
    </xf>
    <xf numFmtId="49" fontId="35" fillId="2" borderId="61" xfId="0" applyNumberFormat="1" applyFont="1" applyFill="1" applyBorder="1" applyAlignment="1">
      <alignment horizontal="center" vertical="center" wrapText="1"/>
    </xf>
    <xf numFmtId="49" fontId="35" fillId="2" borderId="56" xfId="0" applyNumberFormat="1" applyFont="1" applyFill="1" applyBorder="1" applyAlignment="1">
      <alignment horizontal="center" vertical="center" wrapText="1"/>
    </xf>
    <xf numFmtId="49" fontId="35" fillId="2" borderId="58" xfId="0" applyNumberFormat="1" applyFont="1" applyFill="1" applyBorder="1" applyAlignment="1">
      <alignment horizontal="center" vertical="center" wrapText="1"/>
    </xf>
    <xf numFmtId="49" fontId="35" fillId="2" borderId="62" xfId="0" applyNumberFormat="1" applyFont="1" applyFill="1" applyBorder="1" applyAlignment="1">
      <alignment horizontal="center" vertical="center" wrapText="1"/>
    </xf>
    <xf numFmtId="49" fontId="35" fillId="2" borderId="14" xfId="0" applyNumberFormat="1" applyFont="1" applyFill="1" applyBorder="1" applyAlignment="1">
      <alignment horizontal="center" vertical="center" wrapText="1"/>
    </xf>
    <xf numFmtId="49" fontId="35" fillId="2" borderId="59" xfId="0" applyNumberFormat="1" applyFont="1" applyFill="1" applyBorder="1" applyAlignment="1">
      <alignment horizontal="center" vertical="center" wrapText="1"/>
    </xf>
    <xf numFmtId="0" fontId="35" fillId="2" borderId="62"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35" fillId="2" borderId="59" xfId="0" applyFont="1" applyFill="1" applyBorder="1" applyAlignment="1">
      <alignment horizontal="center" vertical="center" wrapText="1"/>
    </xf>
    <xf numFmtId="0" fontId="35" fillId="2" borderId="114"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15" xfId="0" applyFont="1" applyFill="1" applyBorder="1" applyAlignment="1">
      <alignment horizontal="center" vertical="center" wrapText="1"/>
    </xf>
    <xf numFmtId="0" fontId="35" fillId="28" borderId="14" xfId="0" applyFont="1" applyFill="1" applyBorder="1" applyAlignment="1">
      <alignment horizontal="center" vertical="center" wrapText="1"/>
    </xf>
    <xf numFmtId="0" fontId="35" fillId="28" borderId="1" xfId="0" applyFont="1" applyFill="1" applyBorder="1" applyAlignment="1">
      <alignment horizontal="center" vertical="center" wrapText="1"/>
    </xf>
    <xf numFmtId="0" fontId="35" fillId="28" borderId="118" xfId="0" applyFont="1" applyFill="1" applyBorder="1" applyAlignment="1">
      <alignment horizontal="center" vertical="center" wrapText="1"/>
    </xf>
    <xf numFmtId="0" fontId="35" fillId="13" borderId="1" xfId="0" applyFont="1" applyFill="1" applyBorder="1" applyAlignment="1">
      <alignment horizontal="center" vertical="center" wrapText="1"/>
    </xf>
    <xf numFmtId="0" fontId="76" fillId="13" borderId="0" xfId="0" applyFont="1" applyFill="1" applyAlignment="1">
      <alignment horizontal="center" wrapText="1"/>
    </xf>
    <xf numFmtId="0" fontId="122" fillId="30" borderId="0" xfId="0" applyFont="1" applyFill="1" applyAlignment="1">
      <alignment horizontal="center" wrapText="1"/>
    </xf>
    <xf numFmtId="0" fontId="35" fillId="13" borderId="12" xfId="0" applyFont="1" applyFill="1" applyBorder="1" applyAlignment="1">
      <alignment horizontal="center" vertical="center" wrapText="1"/>
    </xf>
    <xf numFmtId="0" fontId="35" fillId="13" borderId="13" xfId="0" applyFont="1" applyFill="1" applyBorder="1" applyAlignment="1">
      <alignment horizontal="center" vertical="center" wrapText="1"/>
    </xf>
    <xf numFmtId="0" fontId="123" fillId="31" borderId="0" xfId="0" applyFont="1" applyFill="1" applyAlignment="1">
      <alignment horizontal="center" vertical="center" wrapText="1"/>
    </xf>
    <xf numFmtId="0" fontId="0" fillId="0" borderId="2" xfId="0" applyBorder="1"/>
    <xf numFmtId="0" fontId="0" fillId="0" borderId="3" xfId="0" applyBorder="1"/>
    <xf numFmtId="0" fontId="0" fillId="0" borderId="0" xfId="0"/>
    <xf numFmtId="0" fontId="0" fillId="0" borderId="5" xfId="0" applyBorder="1"/>
    <xf numFmtId="0" fontId="0" fillId="0" borderId="7" xfId="0" applyBorder="1"/>
    <xf numFmtId="0" fontId="0" fillId="0" borderId="8" xfId="0" applyBorder="1"/>
    <xf numFmtId="0" fontId="40" fillId="2" borderId="12" xfId="0" applyFont="1" applyFill="1" applyBorder="1" applyAlignment="1" applyProtection="1">
      <alignment horizontal="center"/>
      <protection hidden="1"/>
    </xf>
    <xf numFmtId="0" fontId="0" fillId="0" borderId="18" xfId="0" applyBorder="1"/>
    <xf numFmtId="0" fontId="0" fillId="0" borderId="13" xfId="0" applyBorder="1"/>
    <xf numFmtId="0" fontId="61" fillId="3" borderId="0" xfId="0" applyFont="1" applyFill="1" applyAlignment="1" applyProtection="1">
      <alignment horizontal="left" vertical="center"/>
      <protection hidden="1"/>
    </xf>
    <xf numFmtId="0" fontId="0" fillId="0" borderId="0" xfId="0" applyAlignment="1" applyProtection="1">
      <alignment vertical="center"/>
      <protection hidden="1"/>
    </xf>
    <xf numFmtId="0" fontId="0" fillId="0" borderId="2" xfId="0" applyBorder="1" applyProtection="1">
      <protection hidden="1"/>
    </xf>
    <xf numFmtId="0" fontId="0" fillId="0" borderId="3" xfId="0" applyBorder="1" applyProtection="1">
      <protection hidden="1"/>
    </xf>
    <xf numFmtId="0" fontId="0" fillId="0" borderId="0" xfId="0" applyProtection="1">
      <protection hidden="1"/>
    </xf>
    <xf numFmtId="0" fontId="0" fillId="0" borderId="5" xfId="0" applyBorder="1" applyProtection="1">
      <protection hidden="1"/>
    </xf>
    <xf numFmtId="0" fontId="0" fillId="0" borderId="7" xfId="0" applyBorder="1" applyProtection="1">
      <protection hidden="1"/>
    </xf>
    <xf numFmtId="0" fontId="0" fillId="0" borderId="8" xfId="0" applyBorder="1" applyProtection="1">
      <protection hidden="1"/>
    </xf>
    <xf numFmtId="0" fontId="40" fillId="2" borderId="18" xfId="0" applyFont="1" applyFill="1" applyBorder="1" applyAlignment="1" applyProtection="1">
      <alignment horizontal="center"/>
      <protection hidden="1"/>
    </xf>
    <xf numFmtId="0" fontId="40" fillId="2" borderId="13" xfId="0" applyFont="1" applyFill="1" applyBorder="1" applyAlignment="1" applyProtection="1">
      <alignment horizontal="center"/>
      <protection hidden="1"/>
    </xf>
    <xf numFmtId="0" fontId="40" fillId="3" borderId="0" xfId="0" applyFont="1" applyFill="1" applyAlignment="1" applyProtection="1">
      <alignment horizontal="center" vertical="center"/>
      <protection locked="0"/>
    </xf>
    <xf numFmtId="0" fontId="0" fillId="0" borderId="0" xfId="0" applyAlignment="1" applyProtection="1">
      <alignment vertical="center"/>
      <protection locked="0"/>
    </xf>
    <xf numFmtId="0" fontId="40" fillId="2" borderId="0" xfId="0" applyFont="1" applyFill="1" applyAlignment="1" applyProtection="1">
      <alignment horizontal="center" vertical="center"/>
      <protection hidden="1"/>
    </xf>
    <xf numFmtId="0" fontId="63" fillId="0" borderId="23" xfId="0" applyFont="1" applyBorder="1" applyAlignment="1" applyProtection="1">
      <alignment horizontal="center" vertical="center" textRotation="90" wrapText="1"/>
      <protection hidden="1"/>
    </xf>
    <xf numFmtId="0" fontId="63" fillId="0" borderId="19" xfId="0" applyFont="1" applyBorder="1" applyAlignment="1" applyProtection="1">
      <alignment horizontal="center" vertical="center" textRotation="90" wrapText="1"/>
      <protection hidden="1"/>
    </xf>
    <xf numFmtId="0" fontId="63" fillId="0" borderId="24" xfId="0" applyFont="1" applyBorder="1" applyAlignment="1" applyProtection="1">
      <alignment horizontal="center" vertical="center" textRotation="90" wrapText="1"/>
      <protection hidden="1"/>
    </xf>
    <xf numFmtId="0" fontId="40" fillId="15" borderId="23" xfId="0" applyFont="1" applyFill="1" applyBorder="1" applyAlignment="1">
      <alignment horizontal="center" vertical="center" textRotation="90" wrapText="1"/>
    </xf>
    <xf numFmtId="0" fontId="0" fillId="0" borderId="19" xfId="0" applyBorder="1" applyAlignment="1">
      <alignment horizontal="center" vertical="center" textRotation="90" wrapText="1"/>
    </xf>
    <xf numFmtId="0" fontId="0" fillId="0" borderId="24" xfId="0" applyBorder="1" applyAlignment="1">
      <alignment horizontal="center" vertical="center" textRotation="90" wrapText="1"/>
    </xf>
    <xf numFmtId="0" fontId="28" fillId="0" borderId="12" xfId="0" applyFont="1" applyBorder="1" applyAlignment="1" applyProtection="1">
      <alignment horizontal="left" vertical="center"/>
      <protection hidden="1"/>
    </xf>
    <xf numFmtId="0" fontId="28" fillId="0" borderId="18" xfId="0" applyFont="1" applyBorder="1" applyAlignment="1" applyProtection="1">
      <alignment horizontal="left" vertical="center"/>
      <protection hidden="1"/>
    </xf>
    <xf numFmtId="0" fontId="40" fillId="0" borderId="12" xfId="0" applyFont="1" applyBorder="1" applyAlignment="1" applyProtection="1">
      <alignment horizontal="left" vertical="center"/>
      <protection hidden="1"/>
    </xf>
    <xf numFmtId="0" fontId="40" fillId="0" borderId="18" xfId="0" applyFont="1" applyBorder="1" applyAlignment="1" applyProtection="1">
      <alignment horizontal="left" vertical="center"/>
      <protection hidden="1"/>
    </xf>
    <xf numFmtId="0" fontId="34" fillId="0" borderId="39" xfId="0" applyFont="1" applyBorder="1" applyAlignment="1" applyProtection="1">
      <alignment horizontal="left" vertical="center"/>
      <protection hidden="1"/>
    </xf>
    <xf numFmtId="0" fontId="34" fillId="0" borderId="40" xfId="0" applyFont="1" applyBorder="1" applyAlignment="1" applyProtection="1">
      <alignment horizontal="left" vertical="center"/>
      <protection hidden="1"/>
    </xf>
    <xf numFmtId="0" fontId="28" fillId="0" borderId="13" xfId="0" applyFont="1" applyBorder="1" applyAlignment="1" applyProtection="1">
      <alignment horizontal="left" vertical="center"/>
      <protection hidden="1"/>
    </xf>
    <xf numFmtId="0" fontId="0" fillId="0" borderId="12" xfId="0" applyBorder="1" applyAlignment="1" applyProtection="1">
      <alignment horizontal="left" vertical="center"/>
      <protection hidden="1"/>
    </xf>
    <xf numFmtId="0" fontId="0" fillId="0" borderId="18" xfId="0" applyBorder="1" applyAlignment="1" applyProtection="1">
      <alignment horizontal="left" vertical="center"/>
      <protection hidden="1"/>
    </xf>
    <xf numFmtId="0" fontId="0" fillId="0" borderId="13" xfId="0" applyBorder="1" applyAlignment="1" applyProtection="1">
      <alignment horizontal="left" vertical="center"/>
      <protection hidden="1"/>
    </xf>
    <xf numFmtId="0" fontId="28" fillId="6" borderId="12" xfId="0" applyFont="1" applyFill="1" applyBorder="1" applyAlignment="1" applyProtection="1">
      <alignment horizontal="left" vertical="center"/>
      <protection locked="0" hidden="1"/>
    </xf>
    <xf numFmtId="0" fontId="28" fillId="6" borderId="18" xfId="0" applyFont="1" applyFill="1" applyBorder="1" applyAlignment="1" applyProtection="1">
      <alignment horizontal="left" vertical="center"/>
      <protection locked="0" hidden="1"/>
    </xf>
    <xf numFmtId="0" fontId="28" fillId="6" borderId="13" xfId="0" applyFont="1" applyFill="1" applyBorder="1" applyAlignment="1" applyProtection="1">
      <alignment horizontal="left" vertical="center"/>
      <protection locked="0" hidden="1"/>
    </xf>
    <xf numFmtId="0" fontId="34" fillId="0" borderId="41" xfId="0" applyFont="1" applyBorder="1" applyAlignment="1" applyProtection="1">
      <alignment horizontal="left" vertical="center"/>
      <protection hidden="1"/>
    </xf>
    <xf numFmtId="49" fontId="28" fillId="0" borderId="0" xfId="0" applyNumberFormat="1" applyFont="1" applyAlignment="1" applyProtection="1">
      <alignment horizontal="left" wrapText="1"/>
      <protection hidden="1"/>
    </xf>
    <xf numFmtId="0" fontId="17" fillId="3" borderId="7" xfId="0" applyFont="1" applyFill="1" applyBorder="1" applyAlignment="1" applyProtection="1">
      <alignment horizontal="left"/>
      <protection locked="0"/>
    </xf>
    <xf numFmtId="0" fontId="28" fillId="3" borderId="7" xfId="0" applyFont="1" applyFill="1" applyBorder="1" applyAlignment="1" applyProtection="1">
      <alignment horizontal="left"/>
      <protection locked="0"/>
    </xf>
    <xf numFmtId="49" fontId="28" fillId="0" borderId="6" xfId="0" applyNumberFormat="1" applyFont="1" applyBorder="1" applyAlignment="1" applyProtection="1">
      <alignment horizontal="left" wrapText="1"/>
      <protection hidden="1"/>
    </xf>
    <xf numFmtId="49" fontId="28" fillId="0" borderId="7" xfId="0" applyNumberFormat="1" applyFont="1" applyBorder="1" applyAlignment="1" applyProtection="1">
      <alignment horizontal="left" wrapText="1"/>
      <protection hidden="1"/>
    </xf>
    <xf numFmtId="49" fontId="28" fillId="0" borderId="8" xfId="0" applyNumberFormat="1" applyFont="1" applyBorder="1" applyAlignment="1" applyProtection="1">
      <alignment horizontal="left" wrapText="1"/>
      <protection hidden="1"/>
    </xf>
    <xf numFmtId="0" fontId="110" fillId="0" borderId="0" xfId="0" applyFont="1" applyAlignment="1" applyProtection="1">
      <alignment horizontal="center" vertical="center" wrapText="1"/>
      <protection hidden="1"/>
    </xf>
    <xf numFmtId="0" fontId="34" fillId="9" borderId="84" xfId="0" applyFont="1" applyFill="1" applyBorder="1" applyAlignment="1" applyProtection="1">
      <alignment horizontal="center" vertical="center"/>
      <protection hidden="1"/>
    </xf>
    <xf numFmtId="0" fontId="34" fillId="9" borderId="85" xfId="0" applyFont="1" applyFill="1" applyBorder="1" applyAlignment="1" applyProtection="1">
      <alignment horizontal="center" vertical="center"/>
      <protection hidden="1"/>
    </xf>
    <xf numFmtId="10" fontId="35" fillId="9" borderId="0" xfId="0" applyNumberFormat="1" applyFont="1" applyFill="1" applyAlignment="1" applyProtection="1">
      <alignment horizontal="center"/>
      <protection hidden="1"/>
    </xf>
    <xf numFmtId="2" fontId="68" fillId="9" borderId="64" xfId="0" applyNumberFormat="1" applyFont="1" applyFill="1" applyBorder="1" applyAlignment="1" applyProtection="1">
      <alignment horizontal="center" vertical="center"/>
      <protection hidden="1"/>
    </xf>
    <xf numFmtId="2" fontId="68" fillId="9" borderId="65" xfId="0" applyNumberFormat="1" applyFont="1" applyFill="1" applyBorder="1" applyAlignment="1" applyProtection="1">
      <alignment horizontal="center" vertical="center"/>
      <protection hidden="1"/>
    </xf>
    <xf numFmtId="2" fontId="67" fillId="9" borderId="77" xfId="0" applyNumberFormat="1" applyFont="1" applyFill="1" applyBorder="1" applyAlignment="1" applyProtection="1">
      <alignment horizontal="center" vertical="center"/>
      <protection hidden="1"/>
    </xf>
    <xf numFmtId="2" fontId="67" fillId="9" borderId="79" xfId="0" applyNumberFormat="1" applyFont="1" applyFill="1" applyBorder="1" applyAlignment="1" applyProtection="1">
      <alignment horizontal="center" vertical="center"/>
      <protection hidden="1"/>
    </xf>
    <xf numFmtId="2" fontId="67" fillId="9" borderId="78" xfId="0" applyNumberFormat="1" applyFont="1" applyFill="1" applyBorder="1" applyAlignment="1" applyProtection="1">
      <alignment horizontal="center" vertical="center"/>
      <protection hidden="1"/>
    </xf>
    <xf numFmtId="0" fontId="0" fillId="0" borderId="7" xfId="0" applyBorder="1" applyAlignment="1" applyProtection="1">
      <alignment horizontal="left"/>
      <protection locked="0"/>
    </xf>
    <xf numFmtId="171" fontId="67" fillId="7" borderId="12" xfId="0" applyNumberFormat="1" applyFont="1" applyFill="1" applyBorder="1" applyAlignment="1" applyProtection="1">
      <alignment horizontal="center"/>
      <protection hidden="1"/>
    </xf>
    <xf numFmtId="171" fontId="67" fillId="7" borderId="13" xfId="0" applyNumberFormat="1" applyFont="1" applyFill="1" applyBorder="1" applyAlignment="1" applyProtection="1">
      <alignment horizontal="center"/>
      <protection hidden="1"/>
    </xf>
    <xf numFmtId="0" fontId="29" fillId="6" borderId="0" xfId="0" applyFont="1" applyFill="1" applyAlignment="1">
      <alignment horizontal="center"/>
    </xf>
    <xf numFmtId="0" fontId="29" fillId="38" borderId="7" xfId="0" applyFont="1" applyFill="1" applyBorder="1" applyProtection="1">
      <protection locked="0"/>
    </xf>
    <xf numFmtId="0" fontId="40" fillId="0" borderId="2" xfId="0" applyFont="1" applyBorder="1" applyAlignment="1">
      <alignment horizontal="center"/>
    </xf>
    <xf numFmtId="0" fontId="40" fillId="0" borderId="7" xfId="0" applyFont="1" applyBorder="1" applyAlignment="1">
      <alignment horizontal="center"/>
    </xf>
    <xf numFmtId="0" fontId="0" fillId="38" borderId="0" xfId="0" applyFill="1" applyAlignment="1" applyProtection="1">
      <alignment horizontal="center" vertical="top" wrapText="1"/>
      <protection locked="0"/>
    </xf>
    <xf numFmtId="0" fontId="29" fillId="38" borderId="0" xfId="0" applyFont="1" applyFill="1" applyAlignment="1" applyProtection="1">
      <alignment horizontal="center" vertical="top" wrapText="1"/>
      <protection locked="0"/>
    </xf>
    <xf numFmtId="0" fontId="76" fillId="2" borderId="1" xfId="0" applyFont="1" applyFill="1" applyBorder="1" applyAlignment="1">
      <alignment horizontal="center"/>
    </xf>
    <xf numFmtId="0" fontId="76" fillId="2" borderId="2" xfId="0" applyFont="1" applyFill="1" applyBorder="1" applyAlignment="1">
      <alignment horizontal="center"/>
    </xf>
    <xf numFmtId="0" fontId="128" fillId="0" borderId="3" xfId="0" applyFont="1" applyBorder="1" applyAlignment="1">
      <alignment horizontal="center"/>
    </xf>
    <xf numFmtId="0" fontId="128" fillId="2" borderId="4" xfId="0" applyFont="1" applyFill="1" applyBorder="1" applyAlignment="1">
      <alignment horizontal="center" vertical="center"/>
    </xf>
    <xf numFmtId="0" fontId="128" fillId="2" borderId="0" xfId="0" applyFont="1" applyFill="1" applyAlignment="1">
      <alignment horizontal="center" vertical="center"/>
    </xf>
    <xf numFmtId="0" fontId="128" fillId="0" borderId="5" xfId="0" applyFont="1" applyBorder="1" applyAlignment="1">
      <alignment horizontal="center" vertical="center"/>
    </xf>
    <xf numFmtId="0" fontId="76" fillId="2" borderId="4" xfId="0" applyFont="1" applyFill="1" applyBorder="1" applyAlignment="1">
      <alignment horizontal="center"/>
    </xf>
    <xf numFmtId="0" fontId="76" fillId="2" borderId="0" xfId="0" applyFont="1" applyFill="1" applyAlignment="1">
      <alignment horizontal="center"/>
    </xf>
    <xf numFmtId="0" fontId="128" fillId="0" borderId="5" xfId="0" applyFont="1" applyBorder="1" applyAlignment="1">
      <alignment horizontal="center"/>
    </xf>
    <xf numFmtId="0" fontId="62" fillId="0" borderId="0" xfId="0" applyFont="1" applyAlignment="1">
      <alignment horizontal="center"/>
    </xf>
    <xf numFmtId="0" fontId="62" fillId="0" borderId="51" xfId="0" applyFont="1" applyBorder="1" applyAlignment="1">
      <alignment horizontal="center"/>
    </xf>
    <xf numFmtId="0" fontId="62" fillId="0" borderId="52" xfId="0" applyFont="1" applyBorder="1" applyAlignment="1">
      <alignment horizontal="center"/>
    </xf>
    <xf numFmtId="0" fontId="63" fillId="0" borderId="0" xfId="0" applyFont="1" applyAlignment="1">
      <alignment horizontal="center" wrapText="1"/>
    </xf>
    <xf numFmtId="0" fontId="40" fillId="0" borderId="0" xfId="0" applyFont="1" applyAlignment="1">
      <alignment horizontal="left" vertical="top"/>
    </xf>
    <xf numFmtId="0" fontId="40" fillId="0" borderId="0" xfId="0" applyFont="1" applyAlignment="1">
      <alignment horizontal="left"/>
    </xf>
    <xf numFmtId="0" fontId="28" fillId="0" borderId="0" xfId="0" applyFont="1" applyAlignment="1">
      <alignment horizontal="left" vertical="center" wrapText="1"/>
    </xf>
    <xf numFmtId="0" fontId="32" fillId="2" borderId="12" xfId="0" applyFont="1" applyFill="1" applyBorder="1" applyAlignment="1">
      <alignment horizontal="center"/>
    </xf>
    <xf numFmtId="0" fontId="32" fillId="2" borderId="18" xfId="0" applyFont="1" applyFill="1" applyBorder="1" applyAlignment="1">
      <alignment horizontal="center"/>
    </xf>
    <xf numFmtId="0" fontId="32" fillId="2" borderId="13" xfId="0" applyFont="1" applyFill="1" applyBorder="1" applyAlignment="1">
      <alignment horizontal="center"/>
    </xf>
    <xf numFmtId="0" fontId="28" fillId="0" borderId="0" xfId="0" applyFont="1" applyAlignment="1">
      <alignment horizontal="left" vertical="center"/>
    </xf>
    <xf numFmtId="0" fontId="35" fillId="0" borderId="0" xfId="0" applyFont="1" applyAlignment="1">
      <alignment horizontal="left" vertical="center" wrapText="1"/>
    </xf>
    <xf numFmtId="0" fontId="32" fillId="2" borderId="1" xfId="0" applyFont="1" applyFill="1" applyBorder="1" applyAlignment="1">
      <alignment wrapText="1"/>
    </xf>
    <xf numFmtId="0" fontId="32" fillId="2" borderId="2" xfId="0" applyFont="1" applyFill="1" applyBorder="1"/>
    <xf numFmtId="0" fontId="32" fillId="2" borderId="3" xfId="0" applyFont="1" applyFill="1" applyBorder="1"/>
    <xf numFmtId="0" fontId="32" fillId="2" borderId="4" xfId="0" applyFont="1" applyFill="1" applyBorder="1"/>
    <xf numFmtId="0" fontId="32" fillId="2" borderId="0" xfId="0" applyFont="1" applyFill="1"/>
    <xf numFmtId="0" fontId="32" fillId="2" borderId="5" xfId="0" applyFont="1" applyFill="1" applyBorder="1"/>
    <xf numFmtId="0" fontId="32" fillId="2" borderId="6" xfId="0" applyFont="1" applyFill="1" applyBorder="1"/>
    <xf numFmtId="0" fontId="32" fillId="2" borderId="7" xfId="0" applyFont="1" applyFill="1" applyBorder="1"/>
    <xf numFmtId="0" fontId="32" fillId="2" borderId="8" xfId="0" applyFont="1" applyFill="1" applyBorder="1"/>
    <xf numFmtId="0" fontId="29" fillId="6" borderId="4" xfId="0" applyFont="1" applyFill="1" applyBorder="1"/>
  </cellXfs>
  <cellStyles count="23">
    <cellStyle name="40 % - Akzent1" xfId="6" builtinId="31"/>
    <cellStyle name="40 % - Akzent3" xfId="7" builtinId="39"/>
    <cellStyle name="40% - Akzent1 2" xfId="9" xr:uid="{00000000-0005-0000-0000-000002000000}"/>
    <cellStyle name="40% - Akzent3 2" xfId="10" xr:uid="{00000000-0005-0000-0000-000003000000}"/>
    <cellStyle name="Datum" xfId="11" xr:uid="{00000000-0005-0000-0000-000004000000}"/>
    <cellStyle name="Eingabe 2" xfId="5" xr:uid="{00000000-0005-0000-0000-000005000000}"/>
    <cellStyle name="Eingabe 2 2" xfId="12" xr:uid="{00000000-0005-0000-0000-000006000000}"/>
    <cellStyle name="Eingabe 3" xfId="13" xr:uid="{00000000-0005-0000-0000-000007000000}"/>
    <cellStyle name="Formelfeld" xfId="14" xr:uid="{00000000-0005-0000-0000-000008000000}"/>
    <cellStyle name="Formular" xfId="15" xr:uid="{00000000-0005-0000-0000-000009000000}"/>
    <cellStyle name="Komma" xfId="1" builtinId="3"/>
    <cellStyle name="Link" xfId="2" builtinId="8"/>
    <cellStyle name="Prozent" xfId="4" builtinId="5"/>
    <cellStyle name="Prozent 2" xfId="8" xr:uid="{00000000-0005-0000-0000-00000D000000}"/>
    <cellStyle name="Standard" xfId="0" builtinId="0"/>
    <cellStyle name="Standard 2" xfId="16" xr:uid="{00000000-0005-0000-0000-00000F000000}"/>
    <cellStyle name="Standard 4" xfId="22" xr:uid="{00000000-0005-0000-0000-000010000000}"/>
    <cellStyle name="Stunden" xfId="17" xr:uid="{00000000-0005-0000-0000-000011000000}"/>
    <cellStyle name="Text" xfId="18" xr:uid="{00000000-0005-0000-0000-000012000000}"/>
    <cellStyle name="VZK" xfId="19" xr:uid="{00000000-0005-0000-0000-000013000000}"/>
    <cellStyle name="Währung" xfId="3" builtinId="4"/>
    <cellStyle name="Währung 2" xfId="20" xr:uid="{00000000-0005-0000-0000-000015000000}"/>
    <cellStyle name="Währung 3" xfId="21" xr:uid="{00000000-0005-0000-0000-000016000000}"/>
  </cellStyles>
  <dxfs count="121">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color theme="0" tint="-4.9989318521683403E-2"/>
      </font>
    </dxf>
    <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font>
      <fill>
        <patternFill>
          <bgColor theme="0"/>
        </patternFill>
      </fill>
      <border>
        <left/>
        <right/>
        <top/>
        <bottom/>
        <vertical/>
        <horizontal/>
      </border>
    </dxf>
    <dxf>
      <font>
        <color theme="0" tint="-4.9989318521683403E-2"/>
      </font>
    </dxf>
    <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bgColor theme="0"/>
        </patternFill>
      </fill>
      <border>
        <left/>
        <right/>
        <bottom/>
        <vertical/>
        <horizontal/>
      </border>
    </dxf>
    <dxf>
      <font>
        <color theme="0"/>
      </font>
      <fill>
        <patternFill>
          <fgColor theme="0"/>
          <bgColor theme="0"/>
        </patternFill>
      </fill>
      <border>
        <left/>
        <right/>
        <bottom/>
        <vertical/>
        <horizontal/>
      </border>
    </dxf>
    <dxf>
      <font>
        <color auto="1"/>
      </font>
      <fill>
        <patternFill>
          <bgColor theme="0" tint="-4.9989318521683403E-2"/>
        </patternFill>
      </fill>
      <border>
        <bottom style="thin">
          <color auto="1"/>
        </bottom>
        <vertical/>
        <horizontal/>
      </border>
    </dxf>
    <dxf>
      <font>
        <color auto="1"/>
      </font>
      <fill>
        <patternFill>
          <bgColor theme="0" tint="-4.9989318521683403E-2"/>
        </patternFill>
      </fill>
      <border>
        <bottom style="thin">
          <color auto="1"/>
        </bottom>
        <vertical/>
        <horizontal/>
      </border>
    </dxf>
    <dxf>
      <font>
        <color auto="1"/>
      </font>
      <fill>
        <patternFill>
          <bgColor theme="0" tint="-4.9989318521683403E-2"/>
        </patternFill>
      </fill>
      <border>
        <bottom style="thin">
          <color auto="1"/>
        </bottom>
        <vertical/>
        <horizontal/>
      </border>
    </dxf>
    <dxf>
      <font>
        <color theme="0"/>
      </font>
      <fill>
        <patternFill>
          <bgColor theme="0"/>
        </patternFill>
      </fill>
      <border>
        <left/>
        <right/>
        <top/>
        <bottom/>
        <vertical/>
        <horizontal/>
      </border>
    </dxf>
    <dxf>
      <font>
        <color auto="1"/>
      </font>
      <fill>
        <patternFill>
          <bgColor theme="0" tint="-4.9989318521683403E-2"/>
        </patternFill>
      </fill>
      <border>
        <bottom style="thin">
          <color auto="1"/>
        </bottom>
        <vertical/>
        <horizontal/>
      </border>
    </dxf>
    <dxf>
      <font>
        <color auto="1"/>
      </font>
      <fill>
        <patternFill>
          <bgColor theme="0" tint="-4.9989318521683403E-2"/>
        </patternFill>
      </fill>
      <border>
        <bottom style="thin">
          <color auto="1"/>
        </bottom>
        <vertical/>
        <horizontal/>
      </border>
    </dxf>
    <dxf>
      <font>
        <color auto="1"/>
      </font>
      <fill>
        <patternFill>
          <bgColor theme="0" tint="-4.9989318521683403E-2"/>
        </patternFill>
      </fill>
      <border>
        <bottom style="thin">
          <color auto="1"/>
        </bottom>
        <vertical/>
        <horizontal/>
      </border>
    </dxf>
    <dxf>
      <font>
        <color auto="1"/>
      </font>
      <fill>
        <patternFill>
          <bgColor theme="0" tint="-4.9989318521683403E-2"/>
        </patternFill>
      </fill>
      <border>
        <bottom style="thin">
          <color auto="1"/>
        </bottom>
        <vertical/>
        <horizontal/>
      </border>
    </dxf>
    <dxf>
      <font>
        <color theme="0" tint="-4.9989318521683403E-2"/>
      </font>
    </dxf>
    <dxf>
      <font>
        <color auto="1"/>
      </font>
      <fill>
        <patternFill>
          <bgColor theme="0" tint="-4.9989318521683403E-2"/>
        </patternFill>
      </fill>
      <border>
        <bottom style="thin">
          <color auto="1"/>
        </bottom>
        <vertical/>
        <horizontal/>
      </border>
    </dxf>
    <dxf>
      <font>
        <color theme="0"/>
      </font>
      <fill>
        <patternFill patternType="none">
          <fgColor indexed="64"/>
          <bgColor auto="1"/>
        </patternFill>
      </fill>
      <border>
        <vertical/>
        <horizontal/>
      </border>
    </dxf>
    <dxf>
      <font>
        <color theme="0"/>
      </font>
      <fill>
        <patternFill>
          <fgColor theme="0"/>
        </patternFill>
      </fill>
      <border>
        <vertical/>
        <horizontal/>
      </border>
    </dxf>
    <dxf>
      <font>
        <color theme="0"/>
      </font>
      <fill>
        <patternFill>
          <fgColor theme="0"/>
          <bgColor theme="0"/>
        </patternFill>
      </fill>
      <border>
        <vertical/>
        <horizontal/>
      </border>
    </dxf>
    <dxf>
      <font>
        <color theme="0"/>
      </font>
      <fill>
        <patternFill patternType="none">
          <bgColor auto="1"/>
        </patternFill>
      </fill>
      <border>
        <vertical/>
        <horizontal/>
      </border>
    </dxf>
    <dxf>
      <font>
        <color theme="0" tint="-4.9989318521683403E-2"/>
      </font>
    </dxf>
    <dxf>
      <font>
        <color theme="0"/>
      </font>
    </dxf>
    <dxf>
      <font>
        <color theme="0"/>
      </font>
    </dxf>
    <dxf>
      <font>
        <color theme="0"/>
      </font>
      <fill>
        <patternFill>
          <bgColor theme="0"/>
        </patternFill>
      </fill>
      <border>
        <left/>
        <right/>
        <top/>
        <bottom/>
        <vertical/>
        <horizontal/>
      </border>
    </dxf>
    <dxf>
      <font>
        <color theme="0" tint="-4.9989318521683403E-2"/>
      </font>
    </dxf>
    <dxf>
      <font>
        <color theme="0" tint="-4.9989318521683403E-2"/>
      </font>
    </dxf>
    <dxf>
      <font>
        <color theme="0" tint="-4.9989318521683403E-2"/>
      </font>
    </dxf>
    <dxf>
      <font>
        <color theme="0" tint="-4.9989318521683403E-2"/>
      </font>
    </dxf>
    <dxf>
      <fill>
        <patternFill>
          <bgColor theme="0"/>
        </patternFill>
      </fill>
    </dxf>
    <dxf>
      <font>
        <color theme="0" tint="-4.9989318521683403E-2"/>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tint="-4.9989318521683403E-2"/>
      </font>
    </dxf>
    <dxf>
      <fill>
        <patternFill>
          <bgColor theme="0"/>
        </patternFill>
      </fill>
    </dxf>
    <dxf>
      <font>
        <color theme="0" tint="-4.9989318521683403E-2"/>
      </font>
    </dxf>
    <dxf>
      <font>
        <color theme="0" tint="-4.9989318521683403E-2"/>
      </font>
    </dxf>
    <dxf>
      <font>
        <color theme="0" tint="-4.9989318521683403E-2"/>
      </font>
    </dxf>
    <dxf>
      <fill>
        <patternFill>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bgColor theme="0"/>
        </patternFill>
      </fill>
      <border>
        <left/>
        <right/>
        <top/>
        <bottom/>
      </border>
    </dxf>
    <dxf>
      <font>
        <color theme="0"/>
      </font>
      <fill>
        <patternFill>
          <bgColor theme="0"/>
        </patternFill>
      </fill>
      <border>
        <left/>
        <right/>
        <top/>
        <bottom/>
        <vertical/>
        <horizontal/>
      </border>
    </dxf>
    <dxf>
      <font>
        <color theme="0" tint="-4.9989318521683403E-2"/>
      </font>
    </dxf>
    <dxf>
      <font>
        <color theme="0" tint="-4.9989318521683403E-2"/>
      </font>
    </dxf>
    <dxf>
      <fill>
        <patternFill>
          <bgColor rgb="FFFFFF99"/>
        </patternFill>
      </fill>
      <border>
        <left style="thin">
          <color auto="1"/>
        </left>
        <right style="thin">
          <color auto="1"/>
        </right>
        <top style="thin">
          <color auto="1"/>
        </top>
        <bottom style="thin">
          <color auto="1"/>
        </bottom>
        <vertical/>
        <horizontal/>
      </border>
    </dxf>
    <dxf>
      <fill>
        <patternFill>
          <bgColor theme="0"/>
        </patternFill>
      </fill>
    </dxf>
    <dxf>
      <fill>
        <patternFill>
          <bgColor theme="0"/>
        </patternFill>
      </fill>
    </dxf>
    <dxf>
      <fill>
        <patternFill>
          <bgColor theme="0"/>
        </patternFill>
      </fill>
    </dxf>
    <dxf>
      <fill>
        <patternFill>
          <bgColor theme="0"/>
        </patternFill>
      </fill>
    </dxf>
    <dxf>
      <font>
        <color theme="0" tint="-4.9989318521683403E-2"/>
      </font>
    </dxf>
    <dxf>
      <fill>
        <patternFill>
          <bgColor theme="0"/>
        </patternFill>
      </fill>
    </dxf>
    <dxf>
      <font>
        <color theme="0" tint="-4.9989318521683403E-2"/>
      </font>
    </dxf>
    <dxf>
      <fill>
        <patternFill>
          <bgColor theme="0"/>
        </patternFill>
      </fill>
    </dxf>
    <dxf>
      <fill>
        <patternFill>
          <bgColor theme="0"/>
        </patternFill>
      </fill>
    </dxf>
    <dxf>
      <font>
        <color theme="0" tint="-4.9989318521683403E-2"/>
      </font>
    </dxf>
    <dxf>
      <fill>
        <patternFill>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ill>
        <patternFill>
          <bgColor theme="0"/>
        </patternFill>
      </fill>
    </dxf>
    <dxf>
      <font>
        <color theme="0"/>
      </font>
      <fill>
        <patternFill>
          <fgColor theme="0"/>
          <bgColor theme="0"/>
        </patternFill>
      </fill>
      <border>
        <left/>
        <right/>
        <top/>
        <bottom/>
        <vertical/>
        <horizontal/>
      </border>
    </dxf>
    <dxf>
      <font>
        <color theme="7" tint="0.79998168889431442"/>
      </font>
      <fill>
        <patternFill>
          <bgColor theme="7" tint="0.79998168889431442"/>
        </patternFill>
      </fill>
    </dxf>
    <dxf>
      <font>
        <color theme="7" tint="0.79998168889431442"/>
      </font>
    </dxf>
    <dxf>
      <fill>
        <patternFill>
          <bgColor theme="0"/>
        </patternFill>
      </fill>
    </dxf>
    <dxf>
      <font>
        <color theme="0"/>
      </font>
    </dxf>
    <dxf>
      <fill>
        <patternFill>
          <bgColor theme="0"/>
        </patternFill>
      </fill>
    </dxf>
    <dxf>
      <font>
        <strike val="0"/>
        <color theme="0"/>
      </font>
      <fill>
        <patternFill>
          <bgColor theme="0"/>
        </patternFill>
      </fill>
      <border>
        <left/>
        <right/>
        <top/>
        <bottom/>
        <vertical/>
        <horizontal/>
      </border>
    </dxf>
    <dxf>
      <fill>
        <patternFill>
          <bgColor theme="0"/>
        </patternFill>
      </fill>
    </dxf>
    <dxf>
      <fill>
        <patternFill>
          <bgColor theme="0"/>
        </patternFill>
      </fill>
    </dxf>
    <dxf>
      <font>
        <color theme="0" tint="-4.9989318521683403E-2"/>
      </font>
    </dxf>
    <dxf>
      <font>
        <color theme="0" tint="-4.9989318521683403E-2"/>
      </font>
    </dxf>
    <dxf>
      <fill>
        <patternFill>
          <bgColor theme="0"/>
        </patternFill>
      </fill>
    </dxf>
    <dxf>
      <font>
        <color theme="0" tint="-4.9989318521683403E-2"/>
      </font>
    </dxf>
    <dxf>
      <font>
        <color theme="0" tint="-4.9989318521683403E-2"/>
      </font>
    </dxf>
    <dxf>
      <fill>
        <patternFill>
          <bgColor theme="0"/>
        </patternFill>
      </fill>
    </dxf>
    <dxf>
      <font>
        <color theme="0" tint="-0.14996795556505021"/>
      </font>
      <fill>
        <patternFill>
          <bgColor theme="0" tint="-0.24994659260841701"/>
        </patternFill>
      </fill>
      <border>
        <left/>
        <right/>
        <bottom/>
        <vertical/>
        <horizontal/>
      </border>
    </dxf>
    <dxf>
      <font>
        <strike val="0"/>
        <color theme="0"/>
      </font>
      <fill>
        <patternFill>
          <bgColor theme="0"/>
        </patternFill>
      </fill>
      <border>
        <left/>
        <right/>
        <top/>
        <bottom/>
        <vertical/>
        <horizontal/>
      </border>
    </dxf>
    <dxf>
      <font>
        <color theme="0"/>
      </font>
      <fill>
        <patternFill>
          <fgColor theme="0"/>
        </patternFill>
      </fill>
      <border>
        <vertical/>
        <horizontal/>
      </border>
    </dxf>
    <dxf>
      <fill>
        <patternFill patternType="none">
          <bgColor auto="1"/>
        </patternFill>
      </fill>
    </dxf>
    <dxf>
      <fill>
        <patternFill>
          <bgColor theme="0"/>
        </patternFill>
      </fill>
    </dxf>
    <dxf>
      <font>
        <color theme="0"/>
      </font>
      <fill>
        <patternFill>
          <fgColor theme="0"/>
          <bgColor theme="0"/>
        </patternFill>
      </fill>
    </dxf>
    <dxf>
      <fill>
        <patternFill>
          <bgColor theme="0"/>
        </patternFill>
      </fill>
    </dxf>
    <dxf>
      <font>
        <color theme="0" tint="-0.14996795556505021"/>
      </font>
      <fill>
        <patternFill>
          <bgColor theme="0" tint="-0.14996795556505021"/>
        </patternFill>
      </fill>
      <border>
        <bottom/>
        <vertical/>
        <horizontal/>
      </border>
    </dxf>
    <dxf>
      <font>
        <color theme="0"/>
      </font>
      <fill>
        <patternFill>
          <bgColor theme="0"/>
        </patternFill>
      </fill>
    </dxf>
    <dxf>
      <font>
        <color theme="0" tint="-0.14996795556505021"/>
      </font>
      <fill>
        <patternFill>
          <bgColor theme="0" tint="-0.14996795556505021"/>
        </patternFill>
      </fill>
    </dxf>
    <dxf>
      <font>
        <color theme="0"/>
      </font>
      <fill>
        <patternFill>
          <bgColor theme="0"/>
        </patternFill>
      </fill>
    </dxf>
  </dxfs>
  <tableStyles count="0" defaultTableStyle="TableStyleMedium2" defaultPivotStyle="PivotStyleLight16"/>
  <colors>
    <mruColors>
      <color rgb="FFFFF4CA"/>
      <color rgb="FF99CCFF"/>
      <color rgb="FFFBFD95"/>
      <color rgb="FFFFFF99"/>
      <color rgb="FFFFFFCC"/>
      <color rgb="FFFBF7A7"/>
      <color rgb="FFE7FBA7"/>
      <color rgb="FFF2F2F2"/>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46</xdr:row>
      <xdr:rowOff>160080</xdr:rowOff>
    </xdr:to>
    <xdr:pic>
      <xdr:nvPicPr>
        <xdr:cNvPr id="2" name="Grafik 1">
          <a:extLst>
            <a:ext uri="{FF2B5EF4-FFF2-40B4-BE49-F238E27FC236}">
              <a16:creationId xmlns:a16="http://schemas.microsoft.com/office/drawing/2014/main" id="{0C65E910-4B69-BBE2-863A-33F3229565D9}"/>
            </a:ext>
          </a:extLst>
        </xdr:cNvPr>
        <xdr:cNvPicPr>
          <a:picLocks noChangeAspect="1"/>
        </xdr:cNvPicPr>
      </xdr:nvPicPr>
      <xdr:blipFill>
        <a:blip xmlns:r="http://schemas.openxmlformats.org/officeDocument/2006/relationships" r:embed="rId1"/>
        <a:stretch>
          <a:fillRect/>
        </a:stretch>
      </xdr:blipFill>
      <xdr:spPr>
        <a:xfrm>
          <a:off x="0" y="0"/>
          <a:ext cx="6000750" cy="8484930"/>
        </a:xfrm>
        <a:prstGeom prst="rect">
          <a:avLst/>
        </a:prstGeom>
      </xdr:spPr>
    </xdr:pic>
    <xdr:clientData/>
  </xdr:twoCellAnchor>
  <xdr:twoCellAnchor editAs="oneCell">
    <xdr:from>
      <xdr:col>0</xdr:col>
      <xdr:colOff>0</xdr:colOff>
      <xdr:row>49</xdr:row>
      <xdr:rowOff>28576</xdr:rowOff>
    </xdr:from>
    <xdr:to>
      <xdr:col>6</xdr:col>
      <xdr:colOff>849064</xdr:colOff>
      <xdr:row>95</xdr:row>
      <xdr:rowOff>161926</xdr:rowOff>
    </xdr:to>
    <xdr:pic>
      <xdr:nvPicPr>
        <xdr:cNvPr id="3" name="Grafik 2">
          <a:extLst>
            <a:ext uri="{FF2B5EF4-FFF2-40B4-BE49-F238E27FC236}">
              <a16:creationId xmlns:a16="http://schemas.microsoft.com/office/drawing/2014/main" id="{F8832348-73F1-F3D1-64D1-83B9364E22A4}"/>
            </a:ext>
          </a:extLst>
        </xdr:cNvPr>
        <xdr:cNvPicPr>
          <a:picLocks noChangeAspect="1"/>
        </xdr:cNvPicPr>
      </xdr:nvPicPr>
      <xdr:blipFill>
        <a:blip xmlns:r="http://schemas.openxmlformats.org/officeDocument/2006/relationships" r:embed="rId2"/>
        <a:stretch>
          <a:fillRect/>
        </a:stretch>
      </xdr:blipFill>
      <xdr:spPr>
        <a:xfrm>
          <a:off x="0" y="10115551"/>
          <a:ext cx="5992564" cy="8458200"/>
        </a:xfrm>
        <a:prstGeom prst="rect">
          <a:avLst/>
        </a:prstGeom>
      </xdr:spPr>
    </xdr:pic>
    <xdr:clientData/>
  </xdr:twoCellAnchor>
  <xdr:twoCellAnchor editAs="oneCell">
    <xdr:from>
      <xdr:col>0</xdr:col>
      <xdr:colOff>0</xdr:colOff>
      <xdr:row>106</xdr:row>
      <xdr:rowOff>0</xdr:rowOff>
    </xdr:from>
    <xdr:to>
      <xdr:col>7</xdr:col>
      <xdr:colOff>25996</xdr:colOff>
      <xdr:row>153</xdr:row>
      <xdr:rowOff>9525</xdr:rowOff>
    </xdr:to>
    <xdr:pic>
      <xdr:nvPicPr>
        <xdr:cNvPr id="4" name="Grafik 3">
          <a:extLst>
            <a:ext uri="{FF2B5EF4-FFF2-40B4-BE49-F238E27FC236}">
              <a16:creationId xmlns:a16="http://schemas.microsoft.com/office/drawing/2014/main" id="{636B2B69-0A00-E3D4-4C2D-A5F34B9E850D}"/>
            </a:ext>
          </a:extLst>
        </xdr:cNvPr>
        <xdr:cNvPicPr>
          <a:picLocks noChangeAspect="1"/>
        </xdr:cNvPicPr>
      </xdr:nvPicPr>
      <xdr:blipFill>
        <a:blip xmlns:r="http://schemas.openxmlformats.org/officeDocument/2006/relationships" r:embed="rId3"/>
        <a:stretch>
          <a:fillRect/>
        </a:stretch>
      </xdr:blipFill>
      <xdr:spPr>
        <a:xfrm>
          <a:off x="0" y="20393025"/>
          <a:ext cx="5893396" cy="8515350"/>
        </a:xfrm>
        <a:prstGeom prst="rect">
          <a:avLst/>
        </a:prstGeom>
      </xdr:spPr>
    </xdr:pic>
    <xdr:clientData/>
  </xdr:twoCellAnchor>
  <xdr:twoCellAnchor editAs="oneCell">
    <xdr:from>
      <xdr:col>0</xdr:col>
      <xdr:colOff>1</xdr:colOff>
      <xdr:row>162</xdr:row>
      <xdr:rowOff>0</xdr:rowOff>
    </xdr:from>
    <xdr:to>
      <xdr:col>7</xdr:col>
      <xdr:colOff>68667</xdr:colOff>
      <xdr:row>209</xdr:row>
      <xdr:rowOff>76200</xdr:rowOff>
    </xdr:to>
    <xdr:pic>
      <xdr:nvPicPr>
        <xdr:cNvPr id="6" name="Grafik 5">
          <a:extLst>
            <a:ext uri="{FF2B5EF4-FFF2-40B4-BE49-F238E27FC236}">
              <a16:creationId xmlns:a16="http://schemas.microsoft.com/office/drawing/2014/main" id="{669A485A-3483-D532-639E-CA75ED3D22FB}"/>
            </a:ext>
          </a:extLst>
        </xdr:cNvPr>
        <xdr:cNvPicPr>
          <a:picLocks noChangeAspect="1"/>
        </xdr:cNvPicPr>
      </xdr:nvPicPr>
      <xdr:blipFill>
        <a:blip xmlns:r="http://schemas.openxmlformats.org/officeDocument/2006/relationships" r:embed="rId4"/>
        <a:stretch>
          <a:fillRect/>
        </a:stretch>
      </xdr:blipFill>
      <xdr:spPr>
        <a:xfrm>
          <a:off x="1" y="30527625"/>
          <a:ext cx="6069416" cy="8582025"/>
        </a:xfrm>
        <a:prstGeom prst="rect">
          <a:avLst/>
        </a:prstGeom>
      </xdr:spPr>
    </xdr:pic>
    <xdr:clientData/>
  </xdr:twoCellAnchor>
  <xdr:twoCellAnchor editAs="oneCell">
    <xdr:from>
      <xdr:col>0</xdr:col>
      <xdr:colOff>0</xdr:colOff>
      <xdr:row>217</xdr:row>
      <xdr:rowOff>180974</xdr:rowOff>
    </xdr:from>
    <xdr:to>
      <xdr:col>7</xdr:col>
      <xdr:colOff>61931</xdr:colOff>
      <xdr:row>265</xdr:row>
      <xdr:rowOff>66675</xdr:rowOff>
    </xdr:to>
    <xdr:pic>
      <xdr:nvPicPr>
        <xdr:cNvPr id="7" name="Grafik 6">
          <a:extLst>
            <a:ext uri="{FF2B5EF4-FFF2-40B4-BE49-F238E27FC236}">
              <a16:creationId xmlns:a16="http://schemas.microsoft.com/office/drawing/2014/main" id="{BD246501-A909-CD8C-736F-8C4FCD16B7FF}"/>
            </a:ext>
          </a:extLst>
        </xdr:cNvPr>
        <xdr:cNvPicPr>
          <a:picLocks noChangeAspect="1"/>
        </xdr:cNvPicPr>
      </xdr:nvPicPr>
      <xdr:blipFill>
        <a:blip xmlns:r="http://schemas.openxmlformats.org/officeDocument/2006/relationships" r:embed="rId5"/>
        <a:stretch>
          <a:fillRect/>
        </a:stretch>
      </xdr:blipFill>
      <xdr:spPr>
        <a:xfrm>
          <a:off x="0" y="40662224"/>
          <a:ext cx="6062681" cy="8572501"/>
        </a:xfrm>
        <a:prstGeom prst="rect">
          <a:avLst/>
        </a:prstGeom>
      </xdr:spPr>
    </xdr:pic>
    <xdr:clientData/>
  </xdr:twoCellAnchor>
  <xdr:twoCellAnchor editAs="oneCell">
    <xdr:from>
      <xdr:col>0</xdr:col>
      <xdr:colOff>38101</xdr:colOff>
      <xdr:row>272</xdr:row>
      <xdr:rowOff>171450</xdr:rowOff>
    </xdr:from>
    <xdr:to>
      <xdr:col>7</xdr:col>
      <xdr:colOff>79823</xdr:colOff>
      <xdr:row>320</xdr:row>
      <xdr:rowOff>28575</xdr:rowOff>
    </xdr:to>
    <xdr:pic>
      <xdr:nvPicPr>
        <xdr:cNvPr id="8" name="Grafik 7">
          <a:extLst>
            <a:ext uri="{FF2B5EF4-FFF2-40B4-BE49-F238E27FC236}">
              <a16:creationId xmlns:a16="http://schemas.microsoft.com/office/drawing/2014/main" id="{93ABD850-5737-375A-774B-EE8724A7CB20}"/>
            </a:ext>
          </a:extLst>
        </xdr:cNvPr>
        <xdr:cNvPicPr>
          <a:picLocks noChangeAspect="1"/>
        </xdr:cNvPicPr>
      </xdr:nvPicPr>
      <xdr:blipFill>
        <a:blip xmlns:r="http://schemas.openxmlformats.org/officeDocument/2006/relationships" r:embed="rId6"/>
        <a:stretch>
          <a:fillRect/>
        </a:stretch>
      </xdr:blipFill>
      <xdr:spPr>
        <a:xfrm>
          <a:off x="38101" y="50606325"/>
          <a:ext cx="6042472" cy="8543925"/>
        </a:xfrm>
        <a:prstGeom prst="rect">
          <a:avLst/>
        </a:prstGeom>
      </xdr:spPr>
    </xdr:pic>
    <xdr:clientData/>
  </xdr:twoCellAnchor>
  <xdr:twoCellAnchor>
    <xdr:from>
      <xdr:col>3</xdr:col>
      <xdr:colOff>76200</xdr:colOff>
      <xdr:row>44</xdr:row>
      <xdr:rowOff>133350</xdr:rowOff>
    </xdr:from>
    <xdr:to>
      <xdr:col>4</xdr:col>
      <xdr:colOff>38100</xdr:colOff>
      <xdr:row>45</xdr:row>
      <xdr:rowOff>171450</xdr:rowOff>
    </xdr:to>
    <xdr:sp macro="" textlink="">
      <xdr:nvSpPr>
        <xdr:cNvPr id="5" name="Textfeld 4">
          <a:extLst>
            <a:ext uri="{FF2B5EF4-FFF2-40B4-BE49-F238E27FC236}">
              <a16:creationId xmlns:a16="http://schemas.microsoft.com/office/drawing/2014/main" id="{2A7E6B5F-525B-2651-EA7C-838CA101763A}"/>
            </a:ext>
          </a:extLst>
        </xdr:cNvPr>
        <xdr:cNvSpPr txBox="1"/>
      </xdr:nvSpPr>
      <xdr:spPr>
        <a:xfrm>
          <a:off x="2590800" y="8096250"/>
          <a:ext cx="8001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2</xdr:col>
      <xdr:colOff>733425</xdr:colOff>
      <xdr:row>93</xdr:row>
      <xdr:rowOff>152401</xdr:rowOff>
    </xdr:from>
    <xdr:to>
      <xdr:col>3</xdr:col>
      <xdr:colOff>695325</xdr:colOff>
      <xdr:row>95</xdr:row>
      <xdr:rowOff>9526</xdr:rowOff>
    </xdr:to>
    <xdr:sp macro="" textlink="">
      <xdr:nvSpPr>
        <xdr:cNvPr id="9" name="Textfeld 8">
          <a:extLst>
            <a:ext uri="{FF2B5EF4-FFF2-40B4-BE49-F238E27FC236}">
              <a16:creationId xmlns:a16="http://schemas.microsoft.com/office/drawing/2014/main" id="{7B6BF33E-7BDF-4E06-AD45-86A63883FCF3}"/>
            </a:ext>
          </a:extLst>
        </xdr:cNvPr>
        <xdr:cNvSpPr txBox="1"/>
      </xdr:nvSpPr>
      <xdr:spPr>
        <a:xfrm>
          <a:off x="2409825" y="18202276"/>
          <a:ext cx="8001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9525</xdr:colOff>
      <xdr:row>150</xdr:row>
      <xdr:rowOff>171450</xdr:rowOff>
    </xdr:from>
    <xdr:to>
      <xdr:col>3</xdr:col>
      <xdr:colOff>809625</xdr:colOff>
      <xdr:row>152</xdr:row>
      <xdr:rowOff>28575</xdr:rowOff>
    </xdr:to>
    <xdr:sp macro="" textlink="">
      <xdr:nvSpPr>
        <xdr:cNvPr id="10" name="Textfeld 9">
          <a:extLst>
            <a:ext uri="{FF2B5EF4-FFF2-40B4-BE49-F238E27FC236}">
              <a16:creationId xmlns:a16="http://schemas.microsoft.com/office/drawing/2014/main" id="{0D4EF5CE-B26F-40D0-9441-5338AF17EC47}"/>
            </a:ext>
          </a:extLst>
        </xdr:cNvPr>
        <xdr:cNvSpPr txBox="1"/>
      </xdr:nvSpPr>
      <xdr:spPr>
        <a:xfrm>
          <a:off x="2524125" y="28527375"/>
          <a:ext cx="8001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76201</xdr:colOff>
      <xdr:row>207</xdr:row>
      <xdr:rowOff>28575</xdr:rowOff>
    </xdr:from>
    <xdr:to>
      <xdr:col>4</xdr:col>
      <xdr:colOff>38101</xdr:colOff>
      <xdr:row>208</xdr:row>
      <xdr:rowOff>66675</xdr:rowOff>
    </xdr:to>
    <xdr:sp macro="" textlink="">
      <xdr:nvSpPr>
        <xdr:cNvPr id="11" name="Textfeld 10">
          <a:extLst>
            <a:ext uri="{FF2B5EF4-FFF2-40B4-BE49-F238E27FC236}">
              <a16:creationId xmlns:a16="http://schemas.microsoft.com/office/drawing/2014/main" id="{2E3C8F22-EA5A-4DDF-9725-CE3CB3CDA93C}"/>
            </a:ext>
          </a:extLst>
        </xdr:cNvPr>
        <xdr:cNvSpPr txBox="1"/>
      </xdr:nvSpPr>
      <xdr:spPr>
        <a:xfrm>
          <a:off x="2590801" y="38700075"/>
          <a:ext cx="8001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152400</xdr:colOff>
      <xdr:row>263</xdr:row>
      <xdr:rowOff>28574</xdr:rowOff>
    </xdr:from>
    <xdr:to>
      <xdr:col>4</xdr:col>
      <xdr:colOff>114300</xdr:colOff>
      <xdr:row>264</xdr:row>
      <xdr:rowOff>66674</xdr:rowOff>
    </xdr:to>
    <xdr:sp macro="" textlink="">
      <xdr:nvSpPr>
        <xdr:cNvPr id="12" name="Textfeld 11">
          <a:extLst>
            <a:ext uri="{FF2B5EF4-FFF2-40B4-BE49-F238E27FC236}">
              <a16:creationId xmlns:a16="http://schemas.microsoft.com/office/drawing/2014/main" id="{272D7F79-C2F2-4C57-8AC7-DB999605FCCB}"/>
            </a:ext>
          </a:extLst>
        </xdr:cNvPr>
        <xdr:cNvSpPr txBox="1"/>
      </xdr:nvSpPr>
      <xdr:spPr>
        <a:xfrm>
          <a:off x="2667000" y="48834674"/>
          <a:ext cx="8001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2</xdr:col>
      <xdr:colOff>828676</xdr:colOff>
      <xdr:row>318</xdr:row>
      <xdr:rowOff>38100</xdr:rowOff>
    </xdr:from>
    <xdr:to>
      <xdr:col>3</xdr:col>
      <xdr:colOff>790576</xdr:colOff>
      <xdr:row>319</xdr:row>
      <xdr:rowOff>76200</xdr:rowOff>
    </xdr:to>
    <xdr:sp macro="" textlink="">
      <xdr:nvSpPr>
        <xdr:cNvPr id="13" name="Textfeld 12">
          <a:extLst>
            <a:ext uri="{FF2B5EF4-FFF2-40B4-BE49-F238E27FC236}">
              <a16:creationId xmlns:a16="http://schemas.microsoft.com/office/drawing/2014/main" id="{A619E826-F66C-4C54-B636-75DAC4B9391A}"/>
            </a:ext>
          </a:extLst>
        </xdr:cNvPr>
        <xdr:cNvSpPr txBox="1"/>
      </xdr:nvSpPr>
      <xdr:spPr>
        <a:xfrm>
          <a:off x="2505076" y="58797825"/>
          <a:ext cx="8001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21</xdr:row>
      <xdr:rowOff>457201</xdr:rowOff>
    </xdr:from>
    <xdr:to>
      <xdr:col>4</xdr:col>
      <xdr:colOff>1590675</xdr:colOff>
      <xdr:row>24</xdr:row>
      <xdr:rowOff>13901</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058150" y="9391651"/>
          <a:ext cx="1495425" cy="728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828675</xdr:colOff>
          <xdr:row>41</xdr:row>
          <xdr:rowOff>38100</xdr:rowOff>
        </xdr:from>
        <xdr:to>
          <xdr:col>8</xdr:col>
          <xdr:colOff>247650</xdr:colOff>
          <xdr:row>43</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47</xdr:row>
          <xdr:rowOff>123825</xdr:rowOff>
        </xdr:from>
        <xdr:to>
          <xdr:col>12</xdr:col>
          <xdr:colOff>466725</xdr:colOff>
          <xdr:row>49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57150</xdr:colOff>
          <xdr:row>32</xdr:row>
          <xdr:rowOff>28575</xdr:rowOff>
        </xdr:from>
        <xdr:to>
          <xdr:col>14</xdr:col>
          <xdr:colOff>314325</xdr:colOff>
          <xdr:row>33</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7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33</xdr:row>
          <xdr:rowOff>28575</xdr:rowOff>
        </xdr:from>
        <xdr:to>
          <xdr:col>14</xdr:col>
          <xdr:colOff>314325</xdr:colOff>
          <xdr:row>34</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7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34</xdr:row>
          <xdr:rowOff>28575</xdr:rowOff>
        </xdr:from>
        <xdr:to>
          <xdr:col>14</xdr:col>
          <xdr:colOff>314325</xdr:colOff>
          <xdr:row>35</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35</xdr:row>
          <xdr:rowOff>28575</xdr:rowOff>
        </xdr:from>
        <xdr:to>
          <xdr:col>14</xdr:col>
          <xdr:colOff>314325</xdr:colOff>
          <xdr:row>36</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7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36</xdr:row>
          <xdr:rowOff>28575</xdr:rowOff>
        </xdr:from>
        <xdr:to>
          <xdr:col>14</xdr:col>
          <xdr:colOff>314325</xdr:colOff>
          <xdr:row>37</xdr:row>
          <xdr:rowOff>28575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7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37</xdr:row>
          <xdr:rowOff>28575</xdr:rowOff>
        </xdr:from>
        <xdr:to>
          <xdr:col>14</xdr:col>
          <xdr:colOff>314325</xdr:colOff>
          <xdr:row>38</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7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38</xdr:row>
          <xdr:rowOff>28575</xdr:rowOff>
        </xdr:from>
        <xdr:to>
          <xdr:col>14</xdr:col>
          <xdr:colOff>314325</xdr:colOff>
          <xdr:row>39</xdr:row>
          <xdr:rowOff>28575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7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39</xdr:row>
          <xdr:rowOff>28575</xdr:rowOff>
        </xdr:from>
        <xdr:to>
          <xdr:col>14</xdr:col>
          <xdr:colOff>314325</xdr:colOff>
          <xdr:row>40</xdr:row>
          <xdr:rowOff>28575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7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40</xdr:row>
          <xdr:rowOff>28575</xdr:rowOff>
        </xdr:from>
        <xdr:to>
          <xdr:col>14</xdr:col>
          <xdr:colOff>314325</xdr:colOff>
          <xdr:row>41</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50</xdr:row>
          <xdr:rowOff>28575</xdr:rowOff>
        </xdr:from>
        <xdr:to>
          <xdr:col>14</xdr:col>
          <xdr:colOff>314325</xdr:colOff>
          <xdr:row>51</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51</xdr:row>
          <xdr:rowOff>28575</xdr:rowOff>
        </xdr:from>
        <xdr:to>
          <xdr:col>14</xdr:col>
          <xdr:colOff>314325</xdr:colOff>
          <xdr:row>52</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52</xdr:row>
          <xdr:rowOff>28575</xdr:rowOff>
        </xdr:from>
        <xdr:to>
          <xdr:col>14</xdr:col>
          <xdr:colOff>314325</xdr:colOff>
          <xdr:row>53</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53</xdr:row>
          <xdr:rowOff>28575</xdr:rowOff>
        </xdr:from>
        <xdr:to>
          <xdr:col>14</xdr:col>
          <xdr:colOff>314325</xdr:colOff>
          <xdr:row>54</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54</xdr:row>
          <xdr:rowOff>28575</xdr:rowOff>
        </xdr:from>
        <xdr:to>
          <xdr:col>14</xdr:col>
          <xdr:colOff>314325</xdr:colOff>
          <xdr:row>55</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55</xdr:row>
          <xdr:rowOff>28575</xdr:rowOff>
        </xdr:from>
        <xdr:to>
          <xdr:col>14</xdr:col>
          <xdr:colOff>314325</xdr:colOff>
          <xdr:row>56</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56</xdr:row>
          <xdr:rowOff>28575</xdr:rowOff>
        </xdr:from>
        <xdr:to>
          <xdr:col>14</xdr:col>
          <xdr:colOff>314325</xdr:colOff>
          <xdr:row>57</xdr:row>
          <xdr:rowOff>28575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7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31</xdr:row>
          <xdr:rowOff>28575</xdr:rowOff>
        </xdr:from>
        <xdr:to>
          <xdr:col>14</xdr:col>
          <xdr:colOff>314325</xdr:colOff>
          <xdr:row>32</xdr:row>
          <xdr:rowOff>28575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7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11</xdr:row>
          <xdr:rowOff>0</xdr:rowOff>
        </xdr:from>
        <xdr:to>
          <xdr:col>3</xdr:col>
          <xdr:colOff>990600</xdr:colOff>
          <xdr:row>12</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7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13</xdr:row>
          <xdr:rowOff>0</xdr:rowOff>
        </xdr:from>
        <xdr:to>
          <xdr:col>3</xdr:col>
          <xdr:colOff>990600</xdr:colOff>
          <xdr:row>14</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7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15</xdr:row>
          <xdr:rowOff>0</xdr:rowOff>
        </xdr:from>
        <xdr:to>
          <xdr:col>3</xdr:col>
          <xdr:colOff>990600</xdr:colOff>
          <xdr:row>16</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7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17</xdr:row>
          <xdr:rowOff>0</xdr:rowOff>
        </xdr:from>
        <xdr:to>
          <xdr:col>3</xdr:col>
          <xdr:colOff>990600</xdr:colOff>
          <xdr:row>18</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7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19</xdr:row>
          <xdr:rowOff>0</xdr:rowOff>
        </xdr:from>
        <xdr:to>
          <xdr:col>3</xdr:col>
          <xdr:colOff>990600</xdr:colOff>
          <xdr:row>20</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7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21</xdr:row>
          <xdr:rowOff>0</xdr:rowOff>
        </xdr:from>
        <xdr:to>
          <xdr:col>3</xdr:col>
          <xdr:colOff>990600</xdr:colOff>
          <xdr:row>22</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7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0</xdr:rowOff>
        </xdr:from>
        <xdr:to>
          <xdr:col>9</xdr:col>
          <xdr:colOff>295275</xdr:colOff>
          <xdr:row>22</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7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20</xdr:row>
          <xdr:rowOff>28575</xdr:rowOff>
        </xdr:from>
        <xdr:to>
          <xdr:col>10</xdr:col>
          <xdr:colOff>28575</xdr:colOff>
          <xdr:row>21</xdr:row>
          <xdr:rowOff>171450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7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21</xdr:row>
          <xdr:rowOff>0</xdr:rowOff>
        </xdr:from>
        <xdr:to>
          <xdr:col>3</xdr:col>
          <xdr:colOff>914400</xdr:colOff>
          <xdr:row>22</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7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0</xdr:rowOff>
        </xdr:from>
        <xdr:to>
          <xdr:col>9</xdr:col>
          <xdr:colOff>295275</xdr:colOff>
          <xdr:row>20</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7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18</xdr:row>
          <xdr:rowOff>28575</xdr:rowOff>
        </xdr:from>
        <xdr:to>
          <xdr:col>10</xdr:col>
          <xdr:colOff>28575</xdr:colOff>
          <xdr:row>20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7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0</xdr:rowOff>
        </xdr:from>
        <xdr:to>
          <xdr:col>9</xdr:col>
          <xdr:colOff>295275</xdr:colOff>
          <xdr:row>18</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7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16</xdr:row>
          <xdr:rowOff>28575</xdr:rowOff>
        </xdr:from>
        <xdr:to>
          <xdr:col>10</xdr:col>
          <xdr:colOff>28575</xdr:colOff>
          <xdr:row>17</xdr:row>
          <xdr:rowOff>171450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7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0</xdr:rowOff>
        </xdr:from>
        <xdr:to>
          <xdr:col>9</xdr:col>
          <xdr:colOff>295275</xdr:colOff>
          <xdr:row>16</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7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14</xdr:row>
          <xdr:rowOff>28575</xdr:rowOff>
        </xdr:from>
        <xdr:to>
          <xdr:col>10</xdr:col>
          <xdr:colOff>28575</xdr:colOff>
          <xdr:row>15</xdr:row>
          <xdr:rowOff>171450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7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0</xdr:rowOff>
        </xdr:from>
        <xdr:to>
          <xdr:col>9</xdr:col>
          <xdr:colOff>295275</xdr:colOff>
          <xdr:row>14</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7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12</xdr:row>
          <xdr:rowOff>28575</xdr:rowOff>
        </xdr:from>
        <xdr:to>
          <xdr:col>10</xdr:col>
          <xdr:colOff>28575</xdr:colOff>
          <xdr:row>13</xdr:row>
          <xdr:rowOff>171450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7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0</xdr:rowOff>
        </xdr:from>
        <xdr:to>
          <xdr:col>9</xdr:col>
          <xdr:colOff>295275</xdr:colOff>
          <xdr:row>12</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7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10</xdr:row>
          <xdr:rowOff>28575</xdr:rowOff>
        </xdr:from>
        <xdr:to>
          <xdr:col>10</xdr:col>
          <xdr:colOff>28575</xdr:colOff>
          <xdr:row>11</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7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0</xdr:rowOff>
        </xdr:from>
        <xdr:to>
          <xdr:col>9</xdr:col>
          <xdr:colOff>295275</xdr:colOff>
          <xdr:row>10</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7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8</xdr:row>
          <xdr:rowOff>28575</xdr:rowOff>
        </xdr:from>
        <xdr:to>
          <xdr:col>10</xdr:col>
          <xdr:colOff>28575</xdr:colOff>
          <xdr:row>9</xdr:row>
          <xdr:rowOff>171450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7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19</xdr:row>
          <xdr:rowOff>0</xdr:rowOff>
        </xdr:from>
        <xdr:to>
          <xdr:col>3</xdr:col>
          <xdr:colOff>990600</xdr:colOff>
          <xdr:row>20</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7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19</xdr:row>
          <xdr:rowOff>0</xdr:rowOff>
        </xdr:from>
        <xdr:to>
          <xdr:col>3</xdr:col>
          <xdr:colOff>914400</xdr:colOff>
          <xdr:row>20</xdr:row>
          <xdr:rowOff>9525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7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17</xdr:row>
          <xdr:rowOff>0</xdr:rowOff>
        </xdr:from>
        <xdr:to>
          <xdr:col>3</xdr:col>
          <xdr:colOff>990600</xdr:colOff>
          <xdr:row>18</xdr:row>
          <xdr:rowOff>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7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17</xdr:row>
          <xdr:rowOff>0</xdr:rowOff>
        </xdr:from>
        <xdr:to>
          <xdr:col>3</xdr:col>
          <xdr:colOff>914400</xdr:colOff>
          <xdr:row>18</xdr:row>
          <xdr:rowOff>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7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15</xdr:row>
          <xdr:rowOff>0</xdr:rowOff>
        </xdr:from>
        <xdr:to>
          <xdr:col>3</xdr:col>
          <xdr:colOff>990600</xdr:colOff>
          <xdr:row>16</xdr:row>
          <xdr:rowOff>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7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15</xdr:row>
          <xdr:rowOff>0</xdr:rowOff>
        </xdr:from>
        <xdr:to>
          <xdr:col>3</xdr:col>
          <xdr:colOff>914400</xdr:colOff>
          <xdr:row>16</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7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13</xdr:row>
          <xdr:rowOff>0</xdr:rowOff>
        </xdr:from>
        <xdr:to>
          <xdr:col>3</xdr:col>
          <xdr:colOff>990600</xdr:colOff>
          <xdr:row>14</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7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13</xdr:row>
          <xdr:rowOff>0</xdr:rowOff>
        </xdr:from>
        <xdr:to>
          <xdr:col>3</xdr:col>
          <xdr:colOff>914400</xdr:colOff>
          <xdr:row>14</xdr:row>
          <xdr:rowOff>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7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11</xdr:row>
          <xdr:rowOff>0</xdr:rowOff>
        </xdr:from>
        <xdr:to>
          <xdr:col>3</xdr:col>
          <xdr:colOff>990600</xdr:colOff>
          <xdr:row>12</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7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0</xdr:rowOff>
        </xdr:from>
        <xdr:to>
          <xdr:col>3</xdr:col>
          <xdr:colOff>295275</xdr:colOff>
          <xdr:row>12</xdr:row>
          <xdr:rowOff>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7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11</xdr:row>
          <xdr:rowOff>0</xdr:rowOff>
        </xdr:from>
        <xdr:to>
          <xdr:col>3</xdr:col>
          <xdr:colOff>914400</xdr:colOff>
          <xdr:row>12</xdr:row>
          <xdr:rowOff>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7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9</xdr:row>
          <xdr:rowOff>0</xdr:rowOff>
        </xdr:from>
        <xdr:to>
          <xdr:col>3</xdr:col>
          <xdr:colOff>990600</xdr:colOff>
          <xdr:row>10</xdr:row>
          <xdr:rowOff>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7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0</xdr:rowOff>
        </xdr:from>
        <xdr:to>
          <xdr:col>3</xdr:col>
          <xdr:colOff>295275</xdr:colOff>
          <xdr:row>10</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7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9</xdr:row>
          <xdr:rowOff>0</xdr:rowOff>
        </xdr:from>
        <xdr:to>
          <xdr:col>3</xdr:col>
          <xdr:colOff>914400</xdr:colOff>
          <xdr:row>10</xdr:row>
          <xdr:rowOff>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7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9</xdr:row>
          <xdr:rowOff>0</xdr:rowOff>
        </xdr:from>
        <xdr:to>
          <xdr:col>4</xdr:col>
          <xdr:colOff>66675</xdr:colOff>
          <xdr:row>10</xdr:row>
          <xdr:rowOff>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7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11</xdr:row>
          <xdr:rowOff>0</xdr:rowOff>
        </xdr:from>
        <xdr:to>
          <xdr:col>3</xdr:col>
          <xdr:colOff>990600</xdr:colOff>
          <xdr:row>12</xdr:row>
          <xdr:rowOff>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7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11</xdr:row>
          <xdr:rowOff>0</xdr:rowOff>
        </xdr:from>
        <xdr:to>
          <xdr:col>3</xdr:col>
          <xdr:colOff>914400</xdr:colOff>
          <xdr:row>12</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7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11</xdr:row>
          <xdr:rowOff>0</xdr:rowOff>
        </xdr:from>
        <xdr:to>
          <xdr:col>4</xdr:col>
          <xdr:colOff>66675</xdr:colOff>
          <xdr:row>12</xdr:row>
          <xdr:rowOff>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7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13</xdr:row>
          <xdr:rowOff>0</xdr:rowOff>
        </xdr:from>
        <xdr:to>
          <xdr:col>3</xdr:col>
          <xdr:colOff>990600</xdr:colOff>
          <xdr:row>14</xdr:row>
          <xdr:rowOff>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7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13</xdr:row>
          <xdr:rowOff>0</xdr:rowOff>
        </xdr:from>
        <xdr:to>
          <xdr:col>3</xdr:col>
          <xdr:colOff>990600</xdr:colOff>
          <xdr:row>14</xdr:row>
          <xdr:rowOff>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7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0</xdr:rowOff>
        </xdr:from>
        <xdr:to>
          <xdr:col>3</xdr:col>
          <xdr:colOff>295275</xdr:colOff>
          <xdr:row>14</xdr:row>
          <xdr:rowOff>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7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13</xdr:row>
          <xdr:rowOff>0</xdr:rowOff>
        </xdr:from>
        <xdr:to>
          <xdr:col>3</xdr:col>
          <xdr:colOff>914400</xdr:colOff>
          <xdr:row>14</xdr:row>
          <xdr:rowOff>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7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13</xdr:row>
          <xdr:rowOff>0</xdr:rowOff>
        </xdr:from>
        <xdr:to>
          <xdr:col>3</xdr:col>
          <xdr:colOff>990600</xdr:colOff>
          <xdr:row>14</xdr:row>
          <xdr:rowOff>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7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13</xdr:row>
          <xdr:rowOff>0</xdr:rowOff>
        </xdr:from>
        <xdr:to>
          <xdr:col>3</xdr:col>
          <xdr:colOff>914400</xdr:colOff>
          <xdr:row>14</xdr:row>
          <xdr:rowOff>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7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13</xdr:row>
          <xdr:rowOff>0</xdr:rowOff>
        </xdr:from>
        <xdr:to>
          <xdr:col>4</xdr:col>
          <xdr:colOff>66675</xdr:colOff>
          <xdr:row>14</xdr:row>
          <xdr:rowOff>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7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15</xdr:row>
          <xdr:rowOff>0</xdr:rowOff>
        </xdr:from>
        <xdr:to>
          <xdr:col>3</xdr:col>
          <xdr:colOff>990600</xdr:colOff>
          <xdr:row>16</xdr:row>
          <xdr:rowOff>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7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15</xdr:row>
          <xdr:rowOff>0</xdr:rowOff>
        </xdr:from>
        <xdr:to>
          <xdr:col>3</xdr:col>
          <xdr:colOff>990600</xdr:colOff>
          <xdr:row>16</xdr:row>
          <xdr:rowOff>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7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0</xdr:rowOff>
        </xdr:from>
        <xdr:to>
          <xdr:col>3</xdr:col>
          <xdr:colOff>295275</xdr:colOff>
          <xdr:row>16</xdr:row>
          <xdr:rowOff>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7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15</xdr:row>
          <xdr:rowOff>0</xdr:rowOff>
        </xdr:from>
        <xdr:to>
          <xdr:col>3</xdr:col>
          <xdr:colOff>914400</xdr:colOff>
          <xdr:row>16</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7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15</xdr:row>
          <xdr:rowOff>0</xdr:rowOff>
        </xdr:from>
        <xdr:to>
          <xdr:col>3</xdr:col>
          <xdr:colOff>990600</xdr:colOff>
          <xdr:row>16</xdr:row>
          <xdr:rowOff>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7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15</xdr:row>
          <xdr:rowOff>0</xdr:rowOff>
        </xdr:from>
        <xdr:to>
          <xdr:col>3</xdr:col>
          <xdr:colOff>914400</xdr:colOff>
          <xdr:row>16</xdr:row>
          <xdr:rowOff>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7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15</xdr:row>
          <xdr:rowOff>0</xdr:rowOff>
        </xdr:from>
        <xdr:to>
          <xdr:col>4</xdr:col>
          <xdr:colOff>66675</xdr:colOff>
          <xdr:row>16</xdr:row>
          <xdr:rowOff>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7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17</xdr:row>
          <xdr:rowOff>0</xdr:rowOff>
        </xdr:from>
        <xdr:to>
          <xdr:col>3</xdr:col>
          <xdr:colOff>990600</xdr:colOff>
          <xdr:row>18</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7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17</xdr:row>
          <xdr:rowOff>0</xdr:rowOff>
        </xdr:from>
        <xdr:to>
          <xdr:col>3</xdr:col>
          <xdr:colOff>990600</xdr:colOff>
          <xdr:row>18</xdr:row>
          <xdr:rowOff>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7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0</xdr:rowOff>
        </xdr:from>
        <xdr:to>
          <xdr:col>3</xdr:col>
          <xdr:colOff>295275</xdr:colOff>
          <xdr:row>18</xdr:row>
          <xdr:rowOff>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7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17</xdr:row>
          <xdr:rowOff>0</xdr:rowOff>
        </xdr:from>
        <xdr:to>
          <xdr:col>3</xdr:col>
          <xdr:colOff>914400</xdr:colOff>
          <xdr:row>18</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7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17</xdr:row>
          <xdr:rowOff>0</xdr:rowOff>
        </xdr:from>
        <xdr:to>
          <xdr:col>3</xdr:col>
          <xdr:colOff>990600</xdr:colOff>
          <xdr:row>18</xdr:row>
          <xdr:rowOff>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7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17</xdr:row>
          <xdr:rowOff>0</xdr:rowOff>
        </xdr:from>
        <xdr:to>
          <xdr:col>3</xdr:col>
          <xdr:colOff>914400</xdr:colOff>
          <xdr:row>18</xdr:row>
          <xdr:rowOff>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7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17</xdr:row>
          <xdr:rowOff>0</xdr:rowOff>
        </xdr:from>
        <xdr:to>
          <xdr:col>4</xdr:col>
          <xdr:colOff>66675</xdr:colOff>
          <xdr:row>18</xdr:row>
          <xdr:rowOff>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7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19</xdr:row>
          <xdr:rowOff>0</xdr:rowOff>
        </xdr:from>
        <xdr:to>
          <xdr:col>3</xdr:col>
          <xdr:colOff>990600</xdr:colOff>
          <xdr:row>20</xdr:row>
          <xdr:rowOff>9525</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7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19</xdr:row>
          <xdr:rowOff>0</xdr:rowOff>
        </xdr:from>
        <xdr:to>
          <xdr:col>3</xdr:col>
          <xdr:colOff>990600</xdr:colOff>
          <xdr:row>20</xdr:row>
          <xdr:rowOff>9525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7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0</xdr:rowOff>
        </xdr:from>
        <xdr:to>
          <xdr:col>3</xdr:col>
          <xdr:colOff>295275</xdr:colOff>
          <xdr:row>20</xdr:row>
          <xdr:rowOff>9525</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7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19</xdr:row>
          <xdr:rowOff>0</xdr:rowOff>
        </xdr:from>
        <xdr:to>
          <xdr:col>3</xdr:col>
          <xdr:colOff>914400</xdr:colOff>
          <xdr:row>20</xdr:row>
          <xdr:rowOff>9525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7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19</xdr:row>
          <xdr:rowOff>0</xdr:rowOff>
        </xdr:from>
        <xdr:to>
          <xdr:col>3</xdr:col>
          <xdr:colOff>990600</xdr:colOff>
          <xdr:row>20</xdr:row>
          <xdr:rowOff>9525</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7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19</xdr:row>
          <xdr:rowOff>0</xdr:rowOff>
        </xdr:from>
        <xdr:to>
          <xdr:col>3</xdr:col>
          <xdr:colOff>914400</xdr:colOff>
          <xdr:row>20</xdr:row>
          <xdr:rowOff>9525</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7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19</xdr:row>
          <xdr:rowOff>0</xdr:rowOff>
        </xdr:from>
        <xdr:to>
          <xdr:col>4</xdr:col>
          <xdr:colOff>66675</xdr:colOff>
          <xdr:row>20</xdr:row>
          <xdr:rowOff>9525</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7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21</xdr:row>
          <xdr:rowOff>0</xdr:rowOff>
        </xdr:from>
        <xdr:to>
          <xdr:col>3</xdr:col>
          <xdr:colOff>990600</xdr:colOff>
          <xdr:row>22</xdr:row>
          <xdr:rowOff>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7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21</xdr:row>
          <xdr:rowOff>0</xdr:rowOff>
        </xdr:from>
        <xdr:to>
          <xdr:col>3</xdr:col>
          <xdr:colOff>990600</xdr:colOff>
          <xdr:row>22</xdr:row>
          <xdr:rowOff>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7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0</xdr:rowOff>
        </xdr:from>
        <xdr:to>
          <xdr:col>3</xdr:col>
          <xdr:colOff>295275</xdr:colOff>
          <xdr:row>22</xdr:row>
          <xdr:rowOff>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7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21</xdr:row>
          <xdr:rowOff>0</xdr:rowOff>
        </xdr:from>
        <xdr:to>
          <xdr:col>3</xdr:col>
          <xdr:colOff>914400</xdr:colOff>
          <xdr:row>22</xdr:row>
          <xdr:rowOff>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7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21</xdr:row>
          <xdr:rowOff>0</xdr:rowOff>
        </xdr:from>
        <xdr:to>
          <xdr:col>3</xdr:col>
          <xdr:colOff>990600</xdr:colOff>
          <xdr:row>22</xdr:row>
          <xdr:rowOff>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7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21</xdr:row>
          <xdr:rowOff>0</xdr:rowOff>
        </xdr:from>
        <xdr:to>
          <xdr:col>3</xdr:col>
          <xdr:colOff>914400</xdr:colOff>
          <xdr:row>22</xdr:row>
          <xdr:rowOff>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7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21</xdr:row>
          <xdr:rowOff>0</xdr:rowOff>
        </xdr:from>
        <xdr:to>
          <xdr:col>4</xdr:col>
          <xdr:colOff>66675</xdr:colOff>
          <xdr:row>22</xdr:row>
          <xdr:rowOff>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7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20</xdr:col>
      <xdr:colOff>171450</xdr:colOff>
      <xdr:row>39</xdr:row>
      <xdr:rowOff>76200</xdr:rowOff>
    </xdr:from>
    <xdr:to>
      <xdr:col>20</xdr:col>
      <xdr:colOff>342900</xdr:colOff>
      <xdr:row>39</xdr:row>
      <xdr:rowOff>121919</xdr:rowOff>
    </xdr:to>
    <xdr:sp macro="" textlink="">
      <xdr:nvSpPr>
        <xdr:cNvPr id="17" name="Pfeil nach links 16">
          <a:extLst>
            <a:ext uri="{FF2B5EF4-FFF2-40B4-BE49-F238E27FC236}">
              <a16:creationId xmlns:a16="http://schemas.microsoft.com/office/drawing/2014/main" id="{00000000-0008-0000-0800-000011000000}"/>
            </a:ext>
          </a:extLst>
        </xdr:cNvPr>
        <xdr:cNvSpPr/>
      </xdr:nvSpPr>
      <xdr:spPr>
        <a:xfrm>
          <a:off x="10925175" y="6105525"/>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161925</xdr:colOff>
      <xdr:row>40</xdr:row>
      <xdr:rowOff>85725</xdr:rowOff>
    </xdr:from>
    <xdr:to>
      <xdr:col>20</xdr:col>
      <xdr:colOff>333375</xdr:colOff>
      <xdr:row>40</xdr:row>
      <xdr:rowOff>131444</xdr:rowOff>
    </xdr:to>
    <xdr:sp macro="" textlink="">
      <xdr:nvSpPr>
        <xdr:cNvPr id="18" name="Pfeil nach links 17">
          <a:extLst>
            <a:ext uri="{FF2B5EF4-FFF2-40B4-BE49-F238E27FC236}">
              <a16:creationId xmlns:a16="http://schemas.microsoft.com/office/drawing/2014/main" id="{00000000-0008-0000-0800-000012000000}"/>
            </a:ext>
          </a:extLst>
        </xdr:cNvPr>
        <xdr:cNvSpPr/>
      </xdr:nvSpPr>
      <xdr:spPr>
        <a:xfrm>
          <a:off x="10915650" y="6296025"/>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171450</xdr:colOff>
      <xdr:row>41</xdr:row>
      <xdr:rowOff>38100</xdr:rowOff>
    </xdr:from>
    <xdr:to>
      <xdr:col>20</xdr:col>
      <xdr:colOff>342900</xdr:colOff>
      <xdr:row>41</xdr:row>
      <xdr:rowOff>83819</xdr:rowOff>
    </xdr:to>
    <xdr:sp macro="" textlink="">
      <xdr:nvSpPr>
        <xdr:cNvPr id="19" name="Pfeil nach links 18">
          <a:extLst>
            <a:ext uri="{FF2B5EF4-FFF2-40B4-BE49-F238E27FC236}">
              <a16:creationId xmlns:a16="http://schemas.microsoft.com/office/drawing/2014/main" id="{00000000-0008-0000-0800-000013000000}"/>
            </a:ext>
          </a:extLst>
        </xdr:cNvPr>
        <xdr:cNvSpPr/>
      </xdr:nvSpPr>
      <xdr:spPr>
        <a:xfrm>
          <a:off x="10925175" y="6429375"/>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161925</xdr:colOff>
      <xdr:row>42</xdr:row>
      <xdr:rowOff>28575</xdr:rowOff>
    </xdr:from>
    <xdr:to>
      <xdr:col>20</xdr:col>
      <xdr:colOff>333375</xdr:colOff>
      <xdr:row>42</xdr:row>
      <xdr:rowOff>74294</xdr:rowOff>
    </xdr:to>
    <xdr:sp macro="" textlink="">
      <xdr:nvSpPr>
        <xdr:cNvPr id="20" name="Pfeil nach links 19">
          <a:extLst>
            <a:ext uri="{FF2B5EF4-FFF2-40B4-BE49-F238E27FC236}">
              <a16:creationId xmlns:a16="http://schemas.microsoft.com/office/drawing/2014/main" id="{00000000-0008-0000-0800-000014000000}"/>
            </a:ext>
          </a:extLst>
        </xdr:cNvPr>
        <xdr:cNvSpPr/>
      </xdr:nvSpPr>
      <xdr:spPr>
        <a:xfrm>
          <a:off x="10915650" y="6600825"/>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152400</xdr:colOff>
      <xdr:row>43</xdr:row>
      <xdr:rowOff>76200</xdr:rowOff>
    </xdr:from>
    <xdr:to>
      <xdr:col>20</xdr:col>
      <xdr:colOff>323850</xdr:colOff>
      <xdr:row>43</xdr:row>
      <xdr:rowOff>121919</xdr:rowOff>
    </xdr:to>
    <xdr:sp macro="" textlink="">
      <xdr:nvSpPr>
        <xdr:cNvPr id="21" name="Pfeil nach links 20">
          <a:extLst>
            <a:ext uri="{FF2B5EF4-FFF2-40B4-BE49-F238E27FC236}">
              <a16:creationId xmlns:a16="http://schemas.microsoft.com/office/drawing/2014/main" id="{00000000-0008-0000-0800-000015000000}"/>
            </a:ext>
          </a:extLst>
        </xdr:cNvPr>
        <xdr:cNvSpPr/>
      </xdr:nvSpPr>
      <xdr:spPr>
        <a:xfrm>
          <a:off x="10906125" y="681990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21</xdr:col>
      <xdr:colOff>152400</xdr:colOff>
      <xdr:row>66</xdr:row>
      <xdr:rowOff>19050</xdr:rowOff>
    </xdr:from>
    <xdr:to>
      <xdr:col>21</xdr:col>
      <xdr:colOff>323850</xdr:colOff>
      <xdr:row>66</xdr:row>
      <xdr:rowOff>64769</xdr:rowOff>
    </xdr:to>
    <xdr:sp macro="" textlink="">
      <xdr:nvSpPr>
        <xdr:cNvPr id="7" name="Pfeil nach links 6">
          <a:extLst>
            <a:ext uri="{FF2B5EF4-FFF2-40B4-BE49-F238E27FC236}">
              <a16:creationId xmlns:a16="http://schemas.microsoft.com/office/drawing/2014/main" id="{00000000-0008-0000-0800-000007000000}"/>
            </a:ext>
          </a:extLst>
        </xdr:cNvPr>
        <xdr:cNvSpPr/>
      </xdr:nvSpPr>
      <xdr:spPr>
        <a:xfrm>
          <a:off x="13077825" y="10315575"/>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21</xdr:col>
      <xdr:colOff>161925</xdr:colOff>
      <xdr:row>67</xdr:row>
      <xdr:rowOff>19050</xdr:rowOff>
    </xdr:from>
    <xdr:to>
      <xdr:col>21</xdr:col>
      <xdr:colOff>333375</xdr:colOff>
      <xdr:row>67</xdr:row>
      <xdr:rowOff>64769</xdr:rowOff>
    </xdr:to>
    <xdr:sp macro="" textlink="">
      <xdr:nvSpPr>
        <xdr:cNvPr id="9" name="Pfeil nach links 8">
          <a:extLst>
            <a:ext uri="{FF2B5EF4-FFF2-40B4-BE49-F238E27FC236}">
              <a16:creationId xmlns:a16="http://schemas.microsoft.com/office/drawing/2014/main" id="{00000000-0008-0000-0800-000009000000}"/>
            </a:ext>
          </a:extLst>
        </xdr:cNvPr>
        <xdr:cNvSpPr/>
      </xdr:nvSpPr>
      <xdr:spPr>
        <a:xfrm>
          <a:off x="13087350" y="1047750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21</xdr:col>
      <xdr:colOff>152400</xdr:colOff>
      <xdr:row>68</xdr:row>
      <xdr:rowOff>28575</xdr:rowOff>
    </xdr:from>
    <xdr:to>
      <xdr:col>21</xdr:col>
      <xdr:colOff>323850</xdr:colOff>
      <xdr:row>68</xdr:row>
      <xdr:rowOff>74294</xdr:rowOff>
    </xdr:to>
    <xdr:sp macro="" textlink="">
      <xdr:nvSpPr>
        <xdr:cNvPr id="10" name="Pfeil nach links 9">
          <a:extLst>
            <a:ext uri="{FF2B5EF4-FFF2-40B4-BE49-F238E27FC236}">
              <a16:creationId xmlns:a16="http://schemas.microsoft.com/office/drawing/2014/main" id="{00000000-0008-0000-0800-00000A000000}"/>
            </a:ext>
          </a:extLst>
        </xdr:cNvPr>
        <xdr:cNvSpPr/>
      </xdr:nvSpPr>
      <xdr:spPr>
        <a:xfrm>
          <a:off x="13077825" y="1064895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21</xdr:col>
      <xdr:colOff>171450</xdr:colOff>
      <xdr:row>69</xdr:row>
      <xdr:rowOff>19050</xdr:rowOff>
    </xdr:from>
    <xdr:to>
      <xdr:col>21</xdr:col>
      <xdr:colOff>342900</xdr:colOff>
      <xdr:row>69</xdr:row>
      <xdr:rowOff>64769</xdr:rowOff>
    </xdr:to>
    <xdr:sp macro="" textlink="">
      <xdr:nvSpPr>
        <xdr:cNvPr id="12" name="Pfeil nach links 11">
          <a:extLst>
            <a:ext uri="{FF2B5EF4-FFF2-40B4-BE49-F238E27FC236}">
              <a16:creationId xmlns:a16="http://schemas.microsoft.com/office/drawing/2014/main" id="{00000000-0008-0000-0800-00000C000000}"/>
            </a:ext>
          </a:extLst>
        </xdr:cNvPr>
        <xdr:cNvSpPr/>
      </xdr:nvSpPr>
      <xdr:spPr>
        <a:xfrm>
          <a:off x="13096875" y="1080135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AOKPLUS">
  <a:themeElements>
    <a:clrScheme name="AOK PLUS">
      <a:dk1>
        <a:sysClr val="windowText" lastClr="000000"/>
      </a:dk1>
      <a:lt1>
        <a:sysClr val="window" lastClr="FFFFFF"/>
      </a:lt1>
      <a:dk2>
        <a:srgbClr val="029646"/>
      </a:dk2>
      <a:lt2>
        <a:srgbClr val="EEECE1"/>
      </a:lt2>
      <a:accent1>
        <a:srgbClr val="CFE8B5"/>
      </a:accent1>
      <a:accent2>
        <a:srgbClr val="FDCA00"/>
      </a:accent2>
      <a:accent3>
        <a:srgbClr val="66BA06"/>
      </a:accent3>
      <a:accent4>
        <a:srgbClr val="EC540B"/>
      </a:accent4>
      <a:accent5>
        <a:srgbClr val="A0C013"/>
      </a:accent5>
      <a:accent6>
        <a:srgbClr val="B0B0B0"/>
      </a:accent6>
      <a:hlink>
        <a:srgbClr val="0000FF"/>
      </a:hlink>
      <a:folHlink>
        <a:srgbClr val="800080"/>
      </a:folHlink>
    </a:clrScheme>
    <a:fontScheme name="Executi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Palatino Linotype"/>
        <a:ea typeface=""/>
        <a:cs typeface=""/>
        <a:font script="Jpan" typeface="HGS明朝E"/>
        <a:font script="Hang" typeface="맑은 고딕"/>
        <a:font script="Hans" typeface="宋体"/>
        <a:font script="Hant" typeface="新細明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3" Type="http://schemas.openxmlformats.org/officeDocument/2006/relationships/hyperlink" Target="mailto:verguetung-pflege.sac@vdek.com" TargetMode="External"/><Relationship Id="rId2" Type="http://schemas.openxmlformats.org/officeDocument/2006/relationships/hyperlink" Target="mailto:pflegesatzverhandlungen_sachsen@plus.aok.de" TargetMode="External"/><Relationship Id="rId1" Type="http://schemas.openxmlformats.org/officeDocument/2006/relationships/hyperlink" Target="mailto:vereinbarungen-pflege@ksv-sachsen.de" TargetMode="External"/><Relationship Id="rId6" Type="http://schemas.openxmlformats.org/officeDocument/2006/relationships/hyperlink" Target="mailto:alexander.bretschneider@barmer.de" TargetMode="External"/><Relationship Id="rId5" Type="http://schemas.openxmlformats.org/officeDocument/2006/relationships/hyperlink" Target="mailto:andre.kaden@barmer.de" TargetMode="External"/><Relationship Id="rId4" Type="http://schemas.openxmlformats.org/officeDocument/2006/relationships/hyperlink" Target="mailto:peter.hoeher@barmer.d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63" Type="http://schemas.openxmlformats.org/officeDocument/2006/relationships/ctrlProp" Target="../ctrlProps/ctrlProp63.xml"/><Relationship Id="rId68" Type="http://schemas.openxmlformats.org/officeDocument/2006/relationships/ctrlProp" Target="../ctrlProps/ctrlProp68.xml"/><Relationship Id="rId76" Type="http://schemas.openxmlformats.org/officeDocument/2006/relationships/ctrlProp" Target="../ctrlProps/ctrlProp76.xml"/><Relationship Id="rId84" Type="http://schemas.openxmlformats.org/officeDocument/2006/relationships/ctrlProp" Target="../ctrlProps/ctrlProp84.xml"/><Relationship Id="rId89" Type="http://schemas.openxmlformats.org/officeDocument/2006/relationships/ctrlProp" Target="../ctrlProps/ctrlProp89.xml"/><Relationship Id="rId7" Type="http://schemas.openxmlformats.org/officeDocument/2006/relationships/ctrlProp" Target="../ctrlProps/ctrlProp7.xml"/><Relationship Id="rId71" Type="http://schemas.openxmlformats.org/officeDocument/2006/relationships/ctrlProp" Target="../ctrlProps/ctrlProp71.xml"/><Relationship Id="rId92" Type="http://schemas.openxmlformats.org/officeDocument/2006/relationships/ctrlProp" Target="../ctrlProps/ctrlProp92.xml"/><Relationship Id="rId2" Type="http://schemas.openxmlformats.org/officeDocument/2006/relationships/vmlDrawing" Target="../drawings/vmlDrawing2.vml"/><Relationship Id="rId16" Type="http://schemas.openxmlformats.org/officeDocument/2006/relationships/ctrlProp" Target="../ctrlProps/ctrlProp16.xml"/><Relationship Id="rId29" Type="http://schemas.openxmlformats.org/officeDocument/2006/relationships/ctrlProp" Target="../ctrlProps/ctrlProp29.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66" Type="http://schemas.openxmlformats.org/officeDocument/2006/relationships/ctrlProp" Target="../ctrlProps/ctrlProp66.xml"/><Relationship Id="rId74" Type="http://schemas.openxmlformats.org/officeDocument/2006/relationships/ctrlProp" Target="../ctrlProps/ctrlProp74.xml"/><Relationship Id="rId79" Type="http://schemas.openxmlformats.org/officeDocument/2006/relationships/ctrlProp" Target="../ctrlProps/ctrlProp79.xml"/><Relationship Id="rId87" Type="http://schemas.openxmlformats.org/officeDocument/2006/relationships/ctrlProp" Target="../ctrlProps/ctrlProp87.xml"/><Relationship Id="rId5" Type="http://schemas.openxmlformats.org/officeDocument/2006/relationships/ctrlProp" Target="../ctrlProps/ctrlProp5.xml"/><Relationship Id="rId61" Type="http://schemas.openxmlformats.org/officeDocument/2006/relationships/ctrlProp" Target="../ctrlProps/ctrlProp61.xml"/><Relationship Id="rId82" Type="http://schemas.openxmlformats.org/officeDocument/2006/relationships/ctrlProp" Target="../ctrlProps/ctrlProp82.xml"/><Relationship Id="rId90" Type="http://schemas.openxmlformats.org/officeDocument/2006/relationships/ctrlProp" Target="../ctrlProps/ctrlProp90.xml"/><Relationship Id="rId19" Type="http://schemas.openxmlformats.org/officeDocument/2006/relationships/ctrlProp" Target="../ctrlProps/ctrlProp1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64" Type="http://schemas.openxmlformats.org/officeDocument/2006/relationships/ctrlProp" Target="../ctrlProps/ctrlProp64.xml"/><Relationship Id="rId69" Type="http://schemas.openxmlformats.org/officeDocument/2006/relationships/ctrlProp" Target="../ctrlProps/ctrlProp69.xml"/><Relationship Id="rId77" Type="http://schemas.openxmlformats.org/officeDocument/2006/relationships/ctrlProp" Target="../ctrlProps/ctrlProp77.xml"/><Relationship Id="rId8" Type="http://schemas.openxmlformats.org/officeDocument/2006/relationships/ctrlProp" Target="../ctrlProps/ctrlProp8.xml"/><Relationship Id="rId51" Type="http://schemas.openxmlformats.org/officeDocument/2006/relationships/ctrlProp" Target="../ctrlProps/ctrlProp51.xml"/><Relationship Id="rId72" Type="http://schemas.openxmlformats.org/officeDocument/2006/relationships/ctrlProp" Target="../ctrlProps/ctrlProp72.xml"/><Relationship Id="rId80" Type="http://schemas.openxmlformats.org/officeDocument/2006/relationships/ctrlProp" Target="../ctrlProps/ctrlProp80.xml"/><Relationship Id="rId85" Type="http://schemas.openxmlformats.org/officeDocument/2006/relationships/ctrlProp" Target="../ctrlProps/ctrlProp85.xml"/><Relationship Id="rId93" Type="http://schemas.openxmlformats.org/officeDocument/2006/relationships/ctrlProp" Target="../ctrlProps/ctrlProp93.xml"/><Relationship Id="rId3" Type="http://schemas.openxmlformats.org/officeDocument/2006/relationships/ctrlProp" Target="../ctrlProps/ctrlProp3.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 Id="rId67" Type="http://schemas.openxmlformats.org/officeDocument/2006/relationships/ctrlProp" Target="../ctrlProps/ctrlProp67.xml"/><Relationship Id="rId20" Type="http://schemas.openxmlformats.org/officeDocument/2006/relationships/ctrlProp" Target="../ctrlProps/ctrlProp20.xml"/><Relationship Id="rId41" Type="http://schemas.openxmlformats.org/officeDocument/2006/relationships/ctrlProp" Target="../ctrlProps/ctrlProp41.xml"/><Relationship Id="rId54" Type="http://schemas.openxmlformats.org/officeDocument/2006/relationships/ctrlProp" Target="../ctrlProps/ctrlProp54.xml"/><Relationship Id="rId62" Type="http://schemas.openxmlformats.org/officeDocument/2006/relationships/ctrlProp" Target="../ctrlProps/ctrlProp62.xml"/><Relationship Id="rId70" Type="http://schemas.openxmlformats.org/officeDocument/2006/relationships/ctrlProp" Target="../ctrlProps/ctrlProp70.xml"/><Relationship Id="rId75" Type="http://schemas.openxmlformats.org/officeDocument/2006/relationships/ctrlProp" Target="../ctrlProps/ctrlProp75.xml"/><Relationship Id="rId83" Type="http://schemas.openxmlformats.org/officeDocument/2006/relationships/ctrlProp" Target="../ctrlProps/ctrlProp83.xml"/><Relationship Id="rId88" Type="http://schemas.openxmlformats.org/officeDocument/2006/relationships/ctrlProp" Target="../ctrlProps/ctrlProp88.xml"/><Relationship Id="rId91" Type="http://schemas.openxmlformats.org/officeDocument/2006/relationships/ctrlProp" Target="../ctrlProps/ctrlProp91.xml"/><Relationship Id="rId1" Type="http://schemas.openxmlformats.org/officeDocument/2006/relationships/drawing" Target="../drawings/drawing4.xml"/><Relationship Id="rId6" Type="http://schemas.openxmlformats.org/officeDocument/2006/relationships/ctrlProp" Target="../ctrlProps/ctrlProp6.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10" Type="http://schemas.openxmlformats.org/officeDocument/2006/relationships/ctrlProp" Target="../ctrlProps/ctrlProp10.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65" Type="http://schemas.openxmlformats.org/officeDocument/2006/relationships/ctrlProp" Target="../ctrlProps/ctrlProp65.xml"/><Relationship Id="rId73" Type="http://schemas.openxmlformats.org/officeDocument/2006/relationships/ctrlProp" Target="../ctrlProps/ctrlProp73.xml"/><Relationship Id="rId78" Type="http://schemas.openxmlformats.org/officeDocument/2006/relationships/ctrlProp" Target="../ctrlProps/ctrlProp78.xml"/><Relationship Id="rId81" Type="http://schemas.openxmlformats.org/officeDocument/2006/relationships/ctrlProp" Target="../ctrlProps/ctrlProp81.xml"/><Relationship Id="rId86" Type="http://schemas.openxmlformats.org/officeDocument/2006/relationships/ctrlProp" Target="../ctrlProps/ctrlProp86.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9:A105"/>
  <sheetViews>
    <sheetView showGridLines="0" tabSelected="1" zoomScaleNormal="100" zoomScaleSheetLayoutView="100" workbookViewId="0">
      <selection activeCell="F325" sqref="F325"/>
    </sheetView>
  </sheetViews>
  <sheetFormatPr baseColWidth="10" defaultRowHeight="14.25"/>
  <sheetData>
    <row r="49" customFormat="1" ht="110.25" customHeight="1"/>
    <row r="50" customFormat="1"/>
    <row r="51" customFormat="1"/>
    <row r="101" customFormat="1"/>
    <row r="103" s="1209" customFormat="1"/>
    <row r="105" customFormat="1" ht="13.5" customHeight="1"/>
  </sheetData>
  <sheetProtection algorithmName="SHA-512" hashValue="opxdvJVd5xuKp2MgTSDUCsvpZMu2dODQEZL76gL9FeC99cXJ8cBuLQQ+sI+z06e0wEEHwz7UJAFXilgUVs0WZg==" saltValue="SDW1GfApPmq3AloSvX+B4w==" spinCount="100000" sheet="1" objects="1" scenarios="1"/>
  <customSheetViews>
    <customSheetView guid="{CDDBAA41-0D3E-44AF-A85A-332C81A5DAE4}" scale="130" showGridLines="0" fitToPage="1" topLeftCell="A13">
      <selection activeCell="H1" sqref="H1"/>
      <pageMargins left="0.78740157480314965" right="0.70866141732283472" top="1.1811023622047245" bottom="0.78740157480314965" header="0.31496062992125984" footer="0.31496062992125984"/>
      <pageSetup paperSize="9" scale="98" fitToHeight="6" orientation="portrait"/>
      <headerFooter>
        <oddHeader>&amp;C&amp;9Allgemeine Hinweise</oddHeader>
        <oddFooter>&amp;C&amp;8Verhandlungsunterlagen SGB XI&amp;R&amp;8Version Kostenträger Stand: 29.11.2018</oddFooter>
      </headerFooter>
    </customSheetView>
  </customSheetViews>
  <pageMargins left="0.78740157480314965" right="0.70866141732283472" top="1.1811023622047245" bottom="0.78740157480314965" header="0.31496062992125984" footer="0.31496062992125984"/>
  <pageSetup paperSize="9" scale="90" fitToHeight="7" orientation="portrait"/>
  <headerFooter>
    <oddHeader>&amp;C&amp;9Allgemeine Hinweise</oddHeader>
    <oddFooter>&amp;L&amp;8Version: 21.11.2024&amp;C&amp;8Verhandlungsunterlagen TP/KZP SGB XI&amp;R&amp;8PSK vom 07.11.2024</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6">
    <pageSetUpPr fitToPage="1"/>
  </sheetPr>
  <dimension ref="A1:AC77"/>
  <sheetViews>
    <sheetView showGridLines="0" zoomScaleNormal="100" workbookViewId="0">
      <selection activeCell="A3" sqref="A3:M3"/>
    </sheetView>
  </sheetViews>
  <sheetFormatPr baseColWidth="10" defaultRowHeight="14.25"/>
  <cols>
    <col min="1" max="1" width="3.625" style="3" customWidth="1"/>
    <col min="2" max="4" width="11" style="3"/>
    <col min="5" max="5" width="7.75" style="3" customWidth="1"/>
    <col min="6" max="6" width="12.625" style="3" customWidth="1"/>
    <col min="7" max="7" width="1" style="3" customWidth="1"/>
    <col min="8" max="8" width="5.875" style="3" customWidth="1"/>
    <col min="9" max="9" width="1.875" style="3" customWidth="1"/>
    <col min="10" max="10" width="8.625" style="3" customWidth="1"/>
    <col min="11" max="11" width="6.375" style="3" customWidth="1"/>
    <col min="12" max="12" width="8.625" style="3" customWidth="1"/>
    <col min="13" max="13" width="3.625" style="3" customWidth="1"/>
    <col min="14" max="16" width="10.625" style="3" hidden="1" customWidth="1"/>
    <col min="17" max="17" width="16.25" style="3" hidden="1" customWidth="1"/>
    <col min="18" max="22" width="7.125" style="3" hidden="1" customWidth="1"/>
    <col min="23" max="29" width="11" style="3" hidden="1" customWidth="1"/>
    <col min="30" max="31" width="0" style="3" hidden="1" customWidth="1"/>
    <col min="32" max="16384" width="11" style="3"/>
  </cols>
  <sheetData>
    <row r="1" spans="1:24" ht="15" customHeight="1">
      <c r="A1" s="1356" t="str">
        <f>'Allgemeine Angaben'!A1:N1</f>
        <v>Aufforderung zum Abschluss einer Pflegesatzvereinbarung gemäß §§ 84, 85 SGB XI</v>
      </c>
      <c r="B1" s="1357"/>
      <c r="C1" s="1357"/>
      <c r="D1" s="1357"/>
      <c r="E1" s="1357"/>
      <c r="F1" s="1357"/>
      <c r="G1" s="1357"/>
      <c r="H1" s="1499"/>
      <c r="I1" s="1499"/>
      <c r="J1" s="1499"/>
      <c r="K1" s="1499"/>
      <c r="L1" s="1499"/>
      <c r="M1" s="1500"/>
      <c r="N1" s="525" t="s">
        <v>365</v>
      </c>
      <c r="O1" s="234"/>
      <c r="P1" s="234"/>
      <c r="Q1" s="234"/>
      <c r="R1" s="234"/>
      <c r="S1" s="234"/>
      <c r="T1" s="234"/>
      <c r="U1" s="234"/>
      <c r="V1" s="234"/>
      <c r="W1" s="234"/>
      <c r="X1" s="234"/>
    </row>
    <row r="2" spans="1:24" ht="19.5" customHeight="1">
      <c r="A2" s="1359" t="s">
        <v>123</v>
      </c>
      <c r="B2" s="1360"/>
      <c r="C2" s="1360"/>
      <c r="D2" s="1360"/>
      <c r="E2" s="1360"/>
      <c r="F2" s="1360"/>
      <c r="G2" s="1360"/>
      <c r="H2" s="1501"/>
      <c r="I2" s="1501"/>
      <c r="J2" s="1501"/>
      <c r="K2" s="1501"/>
      <c r="L2" s="1501"/>
      <c r="M2" s="1502"/>
      <c r="N2" s="686"/>
      <c r="O2" s="234"/>
      <c r="P2" s="483"/>
      <c r="Q2" s="234"/>
      <c r="R2" s="234"/>
      <c r="S2" s="234"/>
      <c r="T2" s="234"/>
      <c r="U2" s="234"/>
      <c r="V2" s="234"/>
      <c r="W2" s="234"/>
      <c r="X2" s="234"/>
    </row>
    <row r="3" spans="1:24" ht="15" customHeight="1">
      <c r="A3" s="1377" t="str">
        <f>'Allgemeine Angaben'!A3:N3</f>
        <v/>
      </c>
      <c r="B3" s="1378"/>
      <c r="C3" s="1378"/>
      <c r="D3" s="1378"/>
      <c r="E3" s="1378"/>
      <c r="F3" s="1378"/>
      <c r="G3" s="1378"/>
      <c r="H3" s="1501"/>
      <c r="I3" s="1501"/>
      <c r="J3" s="1501"/>
      <c r="K3" s="1501"/>
      <c r="L3" s="1501"/>
      <c r="M3" s="1502"/>
      <c r="N3" s="484"/>
      <c r="O3" s="234"/>
      <c r="P3" s="234"/>
      <c r="Q3" s="234"/>
      <c r="R3" s="234"/>
      <c r="S3" s="234"/>
      <c r="T3" s="234"/>
      <c r="U3" s="234"/>
      <c r="V3" s="234"/>
      <c r="W3" s="234"/>
      <c r="X3" s="234"/>
    </row>
    <row r="4" spans="1:24" ht="15" customHeight="1">
      <c r="A4" s="1380" t="str">
        <f>'Allgemeine Angaben'!A4:N4</f>
        <v/>
      </c>
      <c r="B4" s="1381"/>
      <c r="C4" s="1381"/>
      <c r="D4" s="1381"/>
      <c r="E4" s="1381"/>
      <c r="F4" s="1381"/>
      <c r="G4" s="1381"/>
      <c r="H4" s="1503"/>
      <c r="I4" s="1503"/>
      <c r="J4" s="1503"/>
      <c r="K4" s="1503"/>
      <c r="L4" s="1503"/>
      <c r="M4" s="1504"/>
      <c r="N4" s="485"/>
      <c r="O4" s="234"/>
      <c r="P4" s="234"/>
      <c r="Q4" s="486" t="s">
        <v>361</v>
      </c>
      <c r="R4" s="234"/>
      <c r="S4" s="234"/>
      <c r="T4" s="234"/>
      <c r="U4" s="234"/>
      <c r="V4" s="234"/>
      <c r="W4" s="234"/>
      <c r="X4" s="234"/>
    </row>
    <row r="5" spans="1:24" ht="14.25" customHeight="1">
      <c r="A5" s="2"/>
      <c r="L5" s="419"/>
      <c r="M5" s="4"/>
      <c r="N5" s="487"/>
      <c r="O5" s="234"/>
      <c r="P5" s="234"/>
      <c r="Q5" s="234"/>
      <c r="R5" s="234"/>
      <c r="S5" s="234"/>
      <c r="T5" s="234"/>
      <c r="U5" s="234"/>
      <c r="V5" s="234"/>
      <c r="W5" s="234"/>
      <c r="X5" s="234"/>
    </row>
    <row r="6" spans="1:24" s="11" customFormat="1" ht="12.75">
      <c r="A6" s="39"/>
      <c r="B6" s="16" t="s">
        <v>124</v>
      </c>
      <c r="H6" s="480" t="s">
        <v>125</v>
      </c>
      <c r="J6" s="17"/>
      <c r="K6" s="481"/>
      <c r="L6" s="419" t="str">
        <f>IF(OR(O9="x",O11="x",O13="x",O15="x",O9="x"),"Empfehlung","")</f>
        <v>Empfehlung</v>
      </c>
      <c r="M6" s="46"/>
      <c r="N6" s="488"/>
      <c r="O6" s="229"/>
      <c r="P6" s="229"/>
      <c r="Q6" s="489" t="s">
        <v>354</v>
      </c>
      <c r="R6" s="229"/>
      <c r="S6" s="229"/>
      <c r="T6" s="229"/>
      <c r="U6" s="229"/>
      <c r="V6" s="229"/>
      <c r="W6" s="229"/>
      <c r="X6" s="229"/>
    </row>
    <row r="7" spans="1:24" s="11" customFormat="1" ht="12.75">
      <c r="A7" s="39"/>
      <c r="B7" s="16"/>
      <c r="H7" s="181"/>
      <c r="L7" s="69"/>
      <c r="M7" s="46"/>
      <c r="N7" s="490"/>
      <c r="O7" s="491" t="s">
        <v>362</v>
      </c>
      <c r="P7" s="229"/>
      <c r="Q7" s="229"/>
      <c r="R7" s="229"/>
      <c r="S7" s="229"/>
      <c r="T7" s="229"/>
      <c r="U7" s="229"/>
      <c r="V7" s="229"/>
      <c r="W7" s="229"/>
      <c r="X7" s="229"/>
    </row>
    <row r="8" spans="1:24" s="11" customFormat="1" ht="4.5" customHeight="1" thickBot="1">
      <c r="A8" s="39"/>
      <c r="B8" s="105"/>
      <c r="C8" s="105"/>
      <c r="D8" s="105"/>
      <c r="E8" s="105"/>
      <c r="F8" s="191"/>
      <c r="H8" s="192"/>
      <c r="I8" s="193"/>
      <c r="J8" s="168"/>
      <c r="L8" s="420"/>
      <c r="M8" s="46"/>
      <c r="N8" s="490"/>
      <c r="O8" s="492"/>
      <c r="P8" s="492"/>
      <c r="Q8" s="493"/>
      <c r="R8" s="492"/>
      <c r="S8" s="229"/>
      <c r="T8" s="494"/>
      <c r="U8" s="229"/>
      <c r="V8" s="229"/>
      <c r="W8" s="229"/>
      <c r="X8" s="229"/>
    </row>
    <row r="9" spans="1:24" s="11" customFormat="1" ht="12.75">
      <c r="A9" s="39"/>
      <c r="B9" s="194"/>
      <c r="C9" s="195"/>
      <c r="D9" s="195"/>
      <c r="E9" s="195"/>
      <c r="F9" s="196" t="s">
        <v>126</v>
      </c>
      <c r="G9" s="197"/>
      <c r="H9" s="192">
        <v>1</v>
      </c>
      <c r="I9" s="193" t="s">
        <v>127</v>
      </c>
      <c r="J9" s="198"/>
      <c r="K9" s="1333" t="str">
        <f>IF(L9="","","1:")</f>
        <v>1:</v>
      </c>
      <c r="L9" s="1334" t="b">
        <f>IF(O9="x",T40,"")</f>
        <v>0</v>
      </c>
      <c r="M9" s="46"/>
      <c r="N9" s="488">
        <v>1</v>
      </c>
      <c r="O9" s="557" t="str">
        <f>IF(OR(Belegung!E26=0,Belegung!E26=""),"x","")</f>
        <v>x</v>
      </c>
      <c r="P9" s="495"/>
      <c r="Q9" s="496"/>
      <c r="R9" s="500" t="s">
        <v>356</v>
      </c>
      <c r="S9" s="500" t="s">
        <v>360</v>
      </c>
      <c r="T9" s="500" t="s">
        <v>359</v>
      </c>
      <c r="U9" s="500" t="s">
        <v>358</v>
      </c>
      <c r="V9" s="500" t="s">
        <v>357</v>
      </c>
      <c r="W9" s="229"/>
      <c r="X9" s="229"/>
    </row>
    <row r="10" spans="1:24" s="11" customFormat="1" ht="4.5" customHeight="1" thickBot="1">
      <c r="A10" s="39"/>
      <c r="B10" s="120"/>
      <c r="C10" s="105"/>
      <c r="D10" s="105"/>
      <c r="E10" s="105"/>
      <c r="F10" s="191"/>
      <c r="H10" s="192"/>
      <c r="I10" s="193"/>
      <c r="J10" s="168"/>
      <c r="K10" s="1333" t="str">
        <f t="shared" ref="K10:K17" si="0">IF(L10="","","1:")</f>
        <v/>
      </c>
      <c r="L10" s="1334"/>
      <c r="M10" s="46"/>
      <c r="N10" s="488"/>
      <c r="O10" s="558"/>
      <c r="P10" s="495"/>
      <c r="Q10" s="493"/>
      <c r="R10" s="658"/>
      <c r="S10" s="659"/>
      <c r="T10" s="660"/>
      <c r="U10" s="659"/>
      <c r="V10" s="659"/>
      <c r="W10" s="229"/>
      <c r="X10" s="229"/>
    </row>
    <row r="11" spans="1:24" s="11" customFormat="1" ht="12.75">
      <c r="A11" s="39"/>
      <c r="B11" s="39"/>
      <c r="C11" s="189"/>
      <c r="D11" s="190"/>
      <c r="E11" s="105"/>
      <c r="F11" s="196" t="s">
        <v>128</v>
      </c>
      <c r="G11" s="197"/>
      <c r="H11" s="192">
        <v>1</v>
      </c>
      <c r="I11" s="193" t="s">
        <v>127</v>
      </c>
      <c r="J11" s="198"/>
      <c r="K11" s="1333" t="str">
        <f t="shared" si="0"/>
        <v>1:</v>
      </c>
      <c r="L11" s="1334" t="b">
        <f>IF(O11="x",T41,"")</f>
        <v>0</v>
      </c>
      <c r="M11" s="46"/>
      <c r="N11" s="488">
        <v>2</v>
      </c>
      <c r="O11" s="558" t="str">
        <f>IF(OR(Belegung!E27=0,Belegung!E27=""),"x","")</f>
        <v>x</v>
      </c>
      <c r="P11" s="495"/>
      <c r="Q11" s="670" t="s">
        <v>408</v>
      </c>
      <c r="R11" s="671">
        <v>0.78</v>
      </c>
      <c r="S11" s="672">
        <v>1</v>
      </c>
      <c r="T11" s="673">
        <v>1.36</v>
      </c>
      <c r="U11" s="674">
        <v>1.74</v>
      </c>
      <c r="V11" s="675">
        <v>1.91</v>
      </c>
      <c r="W11" s="685"/>
      <c r="X11" s="229"/>
    </row>
    <row r="12" spans="1:24" s="11" customFormat="1" ht="4.5" customHeight="1">
      <c r="A12" s="39"/>
      <c r="B12" s="120"/>
      <c r="C12" s="105"/>
      <c r="D12" s="105"/>
      <c r="E12" s="105"/>
      <c r="F12" s="191"/>
      <c r="H12" s="192"/>
      <c r="I12" s="193"/>
      <c r="J12" s="168"/>
      <c r="K12" s="1333" t="str">
        <f t="shared" si="0"/>
        <v/>
      </c>
      <c r="L12" s="1334"/>
      <c r="M12" s="46"/>
      <c r="N12" s="488"/>
      <c r="O12" s="558"/>
      <c r="P12" s="495"/>
      <c r="Q12" s="666"/>
      <c r="R12" s="495"/>
      <c r="S12" s="229"/>
      <c r="T12" s="494"/>
      <c r="U12" s="229"/>
      <c r="V12" s="667"/>
      <c r="W12" s="229"/>
      <c r="X12" s="229"/>
    </row>
    <row r="13" spans="1:24" s="11" customFormat="1" ht="13.5" thickBot="1">
      <c r="A13" s="39"/>
      <c r="B13" s="120" t="s">
        <v>225</v>
      </c>
      <c r="C13" s="189"/>
      <c r="D13" s="190"/>
      <c r="E13" s="105"/>
      <c r="F13" s="196" t="s">
        <v>129</v>
      </c>
      <c r="G13" s="197"/>
      <c r="H13" s="192">
        <v>1</v>
      </c>
      <c r="I13" s="193" t="s">
        <v>127</v>
      </c>
      <c r="J13" s="198"/>
      <c r="K13" s="1333" t="str">
        <f t="shared" si="0"/>
        <v>1:</v>
      </c>
      <c r="L13" s="1334" t="b">
        <f>IF(O13="x",T42,"")</f>
        <v>0</v>
      </c>
      <c r="M13" s="46"/>
      <c r="N13" s="488">
        <v>3</v>
      </c>
      <c r="O13" s="558" t="str">
        <f>IF(OR(Belegung!E28=0,Belegung!E28=""),"x","")</f>
        <v>x</v>
      </c>
      <c r="P13" s="495"/>
      <c r="Q13" s="668"/>
      <c r="R13" s="669"/>
      <c r="S13" s="678">
        <f>S11/R11-1</f>
        <v>0.28205128205128194</v>
      </c>
      <c r="T13" s="678">
        <f>T11/S11-1</f>
        <v>0.3600000000000001</v>
      </c>
      <c r="U13" s="676">
        <f>U11/T11-1</f>
        <v>0.27941176470588225</v>
      </c>
      <c r="V13" s="677">
        <f>V11/U11-1</f>
        <v>9.7701149425287293E-2</v>
      </c>
      <c r="W13" s="685" t="s">
        <v>434</v>
      </c>
      <c r="X13" s="229"/>
    </row>
    <row r="14" spans="1:24" s="11" customFormat="1" ht="4.5" customHeight="1">
      <c r="A14" s="39"/>
      <c r="B14" s="120"/>
      <c r="C14" s="105"/>
      <c r="D14" s="105"/>
      <c r="E14" s="105"/>
      <c r="F14" s="191"/>
      <c r="H14" s="192"/>
      <c r="I14" s="193"/>
      <c r="J14" s="168"/>
      <c r="K14" s="1333" t="str">
        <f t="shared" si="0"/>
        <v/>
      </c>
      <c r="L14" s="1335"/>
      <c r="M14" s="46"/>
      <c r="N14" s="498"/>
      <c r="O14" s="558"/>
      <c r="P14" s="495"/>
      <c r="Q14" s="494"/>
      <c r="R14" s="495"/>
      <c r="S14" s="497"/>
      <c r="T14" s="494"/>
      <c r="U14" s="229"/>
      <c r="V14" s="229"/>
      <c r="W14" s="229"/>
      <c r="X14" s="229"/>
    </row>
    <row r="15" spans="1:24" s="11" customFormat="1" ht="12.75">
      <c r="A15" s="39"/>
      <c r="B15" s="120"/>
      <c r="C15" s="189"/>
      <c r="D15" s="190"/>
      <c r="E15" s="105"/>
      <c r="F15" s="196" t="s">
        <v>130</v>
      </c>
      <c r="G15" s="197"/>
      <c r="H15" s="192">
        <v>1</v>
      </c>
      <c r="I15" s="193" t="s">
        <v>127</v>
      </c>
      <c r="J15" s="198"/>
      <c r="K15" s="1333" t="str">
        <f t="shared" si="0"/>
        <v>1:</v>
      </c>
      <c r="L15" s="1334" t="b">
        <f>IF(O15="x",T43,"")</f>
        <v>0</v>
      </c>
      <c r="M15" s="46"/>
      <c r="N15" s="499">
        <v>4</v>
      </c>
      <c r="O15" s="558" t="str">
        <f>IF(OR(Belegung!E29=0,Belegung!E29=""),"x","")</f>
        <v>x</v>
      </c>
      <c r="P15" s="495"/>
      <c r="Q15" s="494"/>
      <c r="R15" s="1539" t="s">
        <v>355</v>
      </c>
      <c r="S15" s="1539"/>
      <c r="T15" s="1539"/>
      <c r="U15" s="1539"/>
      <c r="V15" s="1539"/>
      <c r="W15" s="229"/>
      <c r="X15" s="229"/>
    </row>
    <row r="16" spans="1:24" s="11" customFormat="1" ht="4.5" customHeight="1" thickBot="1">
      <c r="A16" s="39"/>
      <c r="B16" s="120"/>
      <c r="C16" s="105"/>
      <c r="D16" s="105"/>
      <c r="E16" s="105"/>
      <c r="F16" s="191"/>
      <c r="H16" s="192"/>
      <c r="I16" s="193"/>
      <c r="J16" s="168"/>
      <c r="K16" s="1333" t="str">
        <f t="shared" si="0"/>
        <v/>
      </c>
      <c r="L16" s="1335"/>
      <c r="M16" s="46"/>
      <c r="N16" s="499"/>
      <c r="O16" s="558"/>
      <c r="P16" s="495"/>
      <c r="Q16" s="494"/>
      <c r="R16" s="495"/>
      <c r="S16" s="497"/>
      <c r="T16" s="494"/>
      <c r="U16" s="229"/>
      <c r="V16" s="229"/>
      <c r="W16" s="229"/>
      <c r="X16" s="229"/>
    </row>
    <row r="17" spans="1:29" s="11" customFormat="1" ht="14.25" customHeight="1" thickBot="1">
      <c r="A17" s="39"/>
      <c r="B17" s="200"/>
      <c r="C17" s="201"/>
      <c r="D17" s="202"/>
      <c r="E17" s="203"/>
      <c r="F17" s="196" t="s">
        <v>131</v>
      </c>
      <c r="G17" s="197"/>
      <c r="H17" s="192">
        <v>1</v>
      </c>
      <c r="I17" s="193" t="s">
        <v>127</v>
      </c>
      <c r="J17" s="198"/>
      <c r="K17" s="1333" t="str">
        <f t="shared" si="0"/>
        <v>1:</v>
      </c>
      <c r="L17" s="1334" t="b">
        <f>IF(O17="x",T44,"")</f>
        <v>0</v>
      </c>
      <c r="M17" s="46"/>
      <c r="N17" s="499">
        <v>5</v>
      </c>
      <c r="O17" s="559" t="str">
        <f>IF(OR(Belegung!E30=0,Belegung!E30=""),"x","")</f>
        <v>x</v>
      </c>
      <c r="P17" s="495"/>
      <c r="Q17" s="494"/>
      <c r="R17" s="500" t="s">
        <v>356</v>
      </c>
      <c r="S17" s="500" t="s">
        <v>360</v>
      </c>
      <c r="T17" s="500" t="s">
        <v>359</v>
      </c>
      <c r="U17" s="500" t="s">
        <v>358</v>
      </c>
      <c r="V17" s="500" t="s">
        <v>357</v>
      </c>
      <c r="W17" s="229"/>
      <c r="X17" s="229"/>
    </row>
    <row r="18" spans="1:29" s="11" customFormat="1" ht="4.5" customHeight="1" thickBot="1">
      <c r="A18" s="39"/>
      <c r="B18" s="105"/>
      <c r="C18" s="105"/>
      <c r="D18" s="105"/>
      <c r="E18" s="105"/>
      <c r="F18" s="191"/>
      <c r="H18" s="192"/>
      <c r="I18" s="193"/>
      <c r="J18" s="168"/>
      <c r="K18" s="69"/>
      <c r="L18" s="69"/>
      <c r="M18" s="46"/>
      <c r="N18" s="490"/>
      <c r="O18" s="501" t="str">
        <f>IF(OR(Belegung!E19=0,Belegung!E19=""),"x","")</f>
        <v/>
      </c>
      <c r="P18" s="492"/>
      <c r="Q18" s="494"/>
      <c r="R18" s="502"/>
      <c r="S18" s="502"/>
      <c r="T18" s="502"/>
      <c r="U18" s="502"/>
      <c r="V18" s="502"/>
      <c r="W18" s="229"/>
      <c r="X18" s="229"/>
    </row>
    <row r="19" spans="1:29" s="11" customFormat="1" ht="14.25" customHeight="1">
      <c r="A19" s="39"/>
      <c r="B19" s="846">
        <f>F19*0.2/100</f>
        <v>0</v>
      </c>
      <c r="D19" s="482"/>
      <c r="E19" s="68" t="s">
        <v>389</v>
      </c>
      <c r="F19" s="1546">
        <f>Personalaufwendungen!H17</f>
        <v>0</v>
      </c>
      <c r="G19" s="1547"/>
      <c r="I19" s="84" t="s">
        <v>132</v>
      </c>
      <c r="J19" s="553">
        <f>IFERROR((Belegung!E26/J9)+(Belegung!E27/J11)+(Belegung!E28/J13)+(Belegung!E29/J15)+(Belegung!E30/J17),0)</f>
        <v>0</v>
      </c>
      <c r="K19" s="68"/>
      <c r="L19" s="69"/>
      <c r="M19" s="46"/>
      <c r="N19" s="503"/>
      <c r="O19" s="504"/>
      <c r="P19" s="229"/>
      <c r="Q19" s="1540" t="s">
        <v>377</v>
      </c>
      <c r="R19" s="505">
        <v>1</v>
      </c>
      <c r="S19" s="505">
        <v>1.29</v>
      </c>
      <c r="T19" s="505">
        <v>1.75</v>
      </c>
      <c r="U19" s="505">
        <v>2.2400000000000002</v>
      </c>
      <c r="V19" s="506">
        <v>2.46</v>
      </c>
      <c r="W19" s="229"/>
      <c r="X19" s="229"/>
    </row>
    <row r="20" spans="1:29" s="11" customFormat="1" ht="15" customHeight="1" thickBot="1">
      <c r="A20" s="39"/>
      <c r="B20" s="105"/>
      <c r="C20" s="105"/>
      <c r="E20" s="105"/>
      <c r="F20" s="1120" t="str">
        <f>IF(F19=J19,"",IF(AND(F19-B19&lt;=J19,(F19+B19&gt;=J19)),"","Personalrelationen bitte prüfen - es besteht keine Plausibilität"))</f>
        <v/>
      </c>
      <c r="J20" s="168"/>
      <c r="M20" s="46"/>
      <c r="N20" s="507"/>
      <c r="O20" s="229"/>
      <c r="P20" s="229"/>
      <c r="Q20" s="1541"/>
      <c r="R20" s="508"/>
      <c r="S20" s="568">
        <f>S19/R19-1</f>
        <v>0.29000000000000004</v>
      </c>
      <c r="T20" s="568">
        <f>T19/S19-1</f>
        <v>0.35658914728682167</v>
      </c>
      <c r="U20" s="568">
        <f>U19/T19-1</f>
        <v>0.28000000000000003</v>
      </c>
      <c r="V20" s="569">
        <f>V19/U19-1</f>
        <v>9.8214285714285587E-2</v>
      </c>
      <c r="W20" s="229"/>
      <c r="X20" s="229"/>
    </row>
    <row r="21" spans="1:29" s="11" customFormat="1" ht="14.25" customHeight="1" thickBot="1">
      <c r="A21" s="39"/>
      <c r="B21" s="204" t="s">
        <v>226</v>
      </c>
      <c r="C21" s="205"/>
      <c r="D21" s="205"/>
      <c r="E21" s="205"/>
      <c r="F21" s="206"/>
      <c r="G21" s="207"/>
      <c r="H21" s="192">
        <v>1</v>
      </c>
      <c r="I21" s="193" t="s">
        <v>127</v>
      </c>
      <c r="J21" s="198"/>
      <c r="K21" s="169" t="s">
        <v>133</v>
      </c>
      <c r="L21" s="208" t="str">
        <f>IF(Personalaufwendungen!H26&gt;0,'Allgemeine Angaben'!$L$47/Personalaufwendungen!H26,"")</f>
        <v/>
      </c>
      <c r="M21" s="46"/>
      <c r="N21" s="509"/>
      <c r="O21" s="229"/>
      <c r="P21" s="229"/>
      <c r="Q21" s="281"/>
      <c r="R21" s="510"/>
      <c r="S21" s="510"/>
      <c r="T21" s="510"/>
      <c r="U21" s="510"/>
      <c r="V21" s="510"/>
      <c r="W21" s="229"/>
      <c r="X21" s="229"/>
    </row>
    <row r="22" spans="1:29" s="11" customFormat="1" ht="12.75" customHeight="1">
      <c r="A22" s="39"/>
      <c r="B22" s="105"/>
      <c r="C22" s="105"/>
      <c r="D22" s="105"/>
      <c r="E22" s="105"/>
      <c r="F22" s="105"/>
      <c r="J22" s="168"/>
      <c r="M22" s="46"/>
      <c r="N22" s="511"/>
      <c r="O22" s="229"/>
      <c r="P22" s="229"/>
      <c r="Q22" s="1542" t="s">
        <v>379</v>
      </c>
      <c r="R22" s="512">
        <v>125</v>
      </c>
      <c r="S22" s="512">
        <v>770</v>
      </c>
      <c r="T22" s="512">
        <v>1262</v>
      </c>
      <c r="U22" s="512">
        <v>1775</v>
      </c>
      <c r="V22" s="513">
        <v>2005</v>
      </c>
      <c r="W22" s="229"/>
      <c r="X22" s="229"/>
    </row>
    <row r="23" spans="1:29" s="11" customFormat="1" ht="14.25" customHeight="1">
      <c r="A23" s="39"/>
      <c r="B23" s="212" t="s">
        <v>241</v>
      </c>
      <c r="C23" s="213"/>
      <c r="D23" s="213"/>
      <c r="E23" s="213"/>
      <c r="F23" s="213"/>
      <c r="G23" s="214"/>
      <c r="H23" s="192">
        <v>1</v>
      </c>
      <c r="I23" s="193" t="s">
        <v>127</v>
      </c>
      <c r="J23" s="215">
        <v>20</v>
      </c>
      <c r="K23" s="61"/>
      <c r="L23" s="199">
        <f>'Allgemeine Angaben'!L47/J23</f>
        <v>0</v>
      </c>
      <c r="M23" s="46"/>
      <c r="N23" s="514"/>
      <c r="O23" s="229"/>
      <c r="P23" s="229"/>
      <c r="Q23" s="1543"/>
      <c r="R23" s="515"/>
      <c r="S23" s="516">
        <v>1</v>
      </c>
      <c r="T23" s="517">
        <f>T22/S22</f>
        <v>1.638961038961039</v>
      </c>
      <c r="U23" s="517">
        <f>U22/S22</f>
        <v>2.3051948051948052</v>
      </c>
      <c r="V23" s="518">
        <f>V22/S22</f>
        <v>2.6038961038961039</v>
      </c>
      <c r="W23" s="229"/>
      <c r="X23" s="229"/>
    </row>
    <row r="24" spans="1:29" s="11" customFormat="1" ht="9.9499999999999993" customHeight="1" thickBot="1">
      <c r="A24" s="39"/>
      <c r="B24" s="105"/>
      <c r="C24" s="105"/>
      <c r="D24" s="105"/>
      <c r="E24" s="105"/>
      <c r="F24" s="105"/>
      <c r="J24" s="168"/>
      <c r="M24" s="46"/>
      <c r="N24" s="511"/>
      <c r="O24" s="229"/>
      <c r="P24" s="229"/>
      <c r="Q24" s="1544"/>
      <c r="R24" s="519"/>
      <c r="S24" s="520"/>
      <c r="T24" s="566">
        <f>T22/S22-1</f>
        <v>0.63896103896103895</v>
      </c>
      <c r="U24" s="566">
        <f t="shared" ref="U24:V24" si="1">U22/T22-1</f>
        <v>0.40649762282091917</v>
      </c>
      <c r="V24" s="567">
        <f t="shared" si="1"/>
        <v>0.12957746478873244</v>
      </c>
      <c r="W24" s="229"/>
      <c r="X24" s="229"/>
    </row>
    <row r="25" spans="1:29" s="11" customFormat="1" ht="14.25" customHeight="1" thickBot="1">
      <c r="A25" s="39"/>
      <c r="B25" s="204" t="s">
        <v>134</v>
      </c>
      <c r="C25" s="205"/>
      <c r="D25" s="205"/>
      <c r="E25" s="205"/>
      <c r="F25" s="209"/>
      <c r="G25" s="197"/>
      <c r="H25" s="128">
        <v>1</v>
      </c>
      <c r="I25" s="193" t="s">
        <v>127</v>
      </c>
      <c r="J25" s="198"/>
      <c r="K25" s="169" t="s">
        <v>133</v>
      </c>
      <c r="L25" s="208" t="str">
        <f>IF(Personalaufwendungen!H34&gt;0,'Allgemeine Angaben'!$L$47/Personalaufwendungen!H34,"")</f>
        <v/>
      </c>
      <c r="M25" s="46"/>
      <c r="N25" s="511"/>
      <c r="O25" s="229"/>
      <c r="P25" s="229"/>
      <c r="Q25" s="229"/>
      <c r="R25" s="521"/>
      <c r="S25" s="521"/>
      <c r="T25" s="521"/>
      <c r="U25" s="521"/>
      <c r="V25" s="521"/>
      <c r="W25" s="229"/>
      <c r="X25" s="229"/>
    </row>
    <row r="26" spans="1:29" s="11" customFormat="1" ht="13.5" customHeight="1">
      <c r="A26" s="39"/>
      <c r="B26" s="105"/>
      <c r="C26" s="105"/>
      <c r="D26" s="105"/>
      <c r="E26" s="105"/>
      <c r="F26" s="105"/>
      <c r="J26" s="168"/>
      <c r="M26" s="46"/>
      <c r="N26" s="511"/>
      <c r="O26" s="229"/>
      <c r="P26" s="229"/>
      <c r="Q26" s="1537" t="s">
        <v>378</v>
      </c>
      <c r="R26" s="522">
        <v>0.78</v>
      </c>
      <c r="S26" s="522">
        <v>1</v>
      </c>
      <c r="T26" s="522">
        <v>1.2</v>
      </c>
      <c r="U26" s="522">
        <v>1.4</v>
      </c>
      <c r="V26" s="523">
        <v>1.5</v>
      </c>
      <c r="W26" s="229"/>
      <c r="X26" s="229"/>
    </row>
    <row r="27" spans="1:29" s="11" customFormat="1" ht="14.25" customHeight="1" thickBot="1">
      <c r="A27" s="39"/>
      <c r="B27" s="204" t="s">
        <v>135</v>
      </c>
      <c r="C27" s="205"/>
      <c r="D27" s="205"/>
      <c r="E27" s="205"/>
      <c r="F27" s="209"/>
      <c r="G27" s="197"/>
      <c r="H27" s="192">
        <v>1</v>
      </c>
      <c r="I27" s="193" t="s">
        <v>127</v>
      </c>
      <c r="J27" s="198"/>
      <c r="K27" s="169" t="s">
        <v>133</v>
      </c>
      <c r="L27" s="208" t="str">
        <f>IF(Personalaufwendungen!H39&gt;0,'Allgemeine Angaben'!$L$47/Personalaufwendungen!H39,"")</f>
        <v/>
      </c>
      <c r="M27" s="46"/>
      <c r="N27" s="509"/>
      <c r="O27" s="229"/>
      <c r="P27" s="229"/>
      <c r="Q27" s="1538"/>
      <c r="R27" s="524"/>
      <c r="S27" s="564">
        <f>S26/R26-1</f>
        <v>0.28205128205128194</v>
      </c>
      <c r="T27" s="564">
        <f t="shared" ref="T27" si="2">T26/S26-1</f>
        <v>0.19999999999999996</v>
      </c>
      <c r="U27" s="564">
        <f>U26/T26-1</f>
        <v>0.16666666666666674</v>
      </c>
      <c r="V27" s="565">
        <f>V26/U26-1</f>
        <v>7.1428571428571397E-2</v>
      </c>
      <c r="W27" s="229"/>
      <c r="X27" s="229"/>
    </row>
    <row r="28" spans="1:29" s="11" customFormat="1" ht="9.9499999999999993" customHeight="1">
      <c r="A28" s="39"/>
      <c r="B28" s="105"/>
      <c r="C28" s="105"/>
      <c r="D28" s="105"/>
      <c r="E28" s="105"/>
      <c r="F28" s="105"/>
      <c r="J28" s="168"/>
      <c r="M28" s="46"/>
      <c r="N28" s="511"/>
      <c r="O28" s="229"/>
      <c r="P28" s="229"/>
      <c r="Q28" s="229"/>
      <c r="R28" s="229"/>
      <c r="S28" s="229"/>
      <c r="T28" s="229"/>
      <c r="U28" s="229"/>
      <c r="V28" s="229"/>
      <c r="W28" s="229"/>
      <c r="X28" s="229"/>
    </row>
    <row r="29" spans="1:29" s="11" customFormat="1" ht="14.25" customHeight="1">
      <c r="A29" s="39"/>
      <c r="B29" s="204" t="s">
        <v>57</v>
      </c>
      <c r="C29" s="205"/>
      <c r="D29" s="205"/>
      <c r="E29" s="205"/>
      <c r="F29" s="209"/>
      <c r="G29" s="197"/>
      <c r="H29" s="192">
        <v>1</v>
      </c>
      <c r="I29" s="193" t="s">
        <v>127</v>
      </c>
      <c r="J29" s="198"/>
      <c r="K29" s="169" t="s">
        <v>133</v>
      </c>
      <c r="L29" s="208" t="str">
        <f>IF(Personalaufwendungen!H41&gt;0,'Allgemeine Angaben'!$L$47/Personalaufwendungen!H41,"")</f>
        <v/>
      </c>
      <c r="M29" s="46"/>
      <c r="N29" s="829" t="s">
        <v>513</v>
      </c>
      <c r="O29" s="526"/>
      <c r="P29" s="526"/>
      <c r="Q29" s="526"/>
      <c r="R29" s="526"/>
      <c r="S29" s="526"/>
      <c r="T29" s="526"/>
      <c r="U29" s="526"/>
      <c r="V29" s="526"/>
      <c r="W29" s="526"/>
      <c r="X29" s="526"/>
      <c r="Y29" s="526"/>
      <c r="Z29" s="526"/>
    </row>
    <row r="30" spans="1:29" s="11" customFormat="1" ht="9.9499999999999993" customHeight="1" thickBot="1">
      <c r="A30" s="39"/>
      <c r="B30" s="105"/>
      <c r="C30" s="105"/>
      <c r="D30" s="105"/>
      <c r="E30" s="105"/>
      <c r="F30" s="105"/>
      <c r="J30" s="168"/>
      <c r="M30" s="46"/>
      <c r="N30" s="570"/>
      <c r="O30" s="526"/>
      <c r="P30" s="526"/>
      <c r="Q30" s="526"/>
      <c r="R30" s="526"/>
      <c r="S30" s="526"/>
      <c r="T30" s="526"/>
      <c r="U30" s="526"/>
      <c r="V30" s="526"/>
      <c r="W30" s="526"/>
      <c r="X30" s="551"/>
      <c r="Y30" s="551"/>
      <c r="Z30" s="551"/>
    </row>
    <row r="31" spans="1:29" s="11" customFormat="1" ht="14.25" customHeight="1">
      <c r="A31" s="39"/>
      <c r="B31" s="204" t="s">
        <v>59</v>
      </c>
      <c r="C31" s="205"/>
      <c r="D31" s="205"/>
      <c r="E31" s="205"/>
      <c r="F31" s="209"/>
      <c r="G31" s="197"/>
      <c r="H31" s="192">
        <v>1</v>
      </c>
      <c r="I31" s="193" t="s">
        <v>127</v>
      </c>
      <c r="J31" s="198"/>
      <c r="K31" s="169" t="s">
        <v>133</v>
      </c>
      <c r="L31" s="208" t="str">
        <f>IF(Personalaufwendungen!H43&gt;0,'Allgemeine Angaben'!$L$47/Personalaufwendungen!H43,"")</f>
        <v/>
      </c>
      <c r="M31" s="46"/>
      <c r="N31" s="571" t="s">
        <v>363</v>
      </c>
      <c r="O31" s="527" t="s">
        <v>376</v>
      </c>
      <c r="P31" s="528"/>
      <c r="Q31" s="528" t="s">
        <v>366</v>
      </c>
      <c r="R31" s="528"/>
      <c r="S31" s="528"/>
      <c r="T31" s="528"/>
      <c r="U31" s="528"/>
      <c r="V31" s="528"/>
      <c r="W31" s="528"/>
      <c r="X31" s="531"/>
      <c r="Y31" s="531"/>
      <c r="Z31" s="531"/>
      <c r="AA31" s="529" t="s">
        <v>368</v>
      </c>
      <c r="AB31" s="529"/>
      <c r="AC31" s="530"/>
    </row>
    <row r="32" spans="1:29" s="11" customFormat="1" ht="9.9499999999999993" customHeight="1">
      <c r="A32" s="39"/>
      <c r="B32" s="105"/>
      <c r="C32" s="105"/>
      <c r="D32" s="105"/>
      <c r="E32" s="105"/>
      <c r="F32" s="105"/>
      <c r="J32" s="168"/>
      <c r="M32" s="46"/>
      <c r="N32" s="572">
        <v>1</v>
      </c>
      <c r="O32" s="555">
        <f>IF(Belegung!E26&lt;&gt;0,Forderung!J9,0)</f>
        <v>0</v>
      </c>
      <c r="P32" s="531"/>
      <c r="Q32" s="531" t="s">
        <v>367</v>
      </c>
      <c r="R32" s="531"/>
      <c r="S32" s="531"/>
      <c r="T32" s="531"/>
      <c r="U32" s="531"/>
      <c r="V32" s="531"/>
      <c r="W32" s="531"/>
      <c r="X32" s="531"/>
      <c r="Y32" s="531"/>
      <c r="Z32" s="531"/>
      <c r="AA32" s="663" t="s">
        <v>413</v>
      </c>
      <c r="AB32" s="531"/>
      <c r="AC32" s="532"/>
    </row>
    <row r="33" spans="1:29" s="11" customFormat="1" ht="14.25" customHeight="1">
      <c r="A33" s="39"/>
      <c r="B33" s="204" t="s">
        <v>136</v>
      </c>
      <c r="C33" s="205"/>
      <c r="D33" s="205"/>
      <c r="E33" s="205"/>
      <c r="F33" s="205"/>
      <c r="G33" s="210" t="s">
        <v>137</v>
      </c>
      <c r="H33" s="192"/>
      <c r="I33" s="193"/>
      <c r="J33" s="177"/>
      <c r="L33" s="211" t="str">
        <f>IF(Personalaufwendungen!H62&gt;0,Personalaufwendungen!H62+Personalaufwendungen!H64,IF(Personalaufwendungen!H64&gt;0,Personalaufwendungen!H62+Personalaufwendungen!H64,""))</f>
        <v/>
      </c>
      <c r="M33" s="46"/>
      <c r="N33" s="572">
        <v>2</v>
      </c>
      <c r="O33" s="555">
        <f>IF(Belegung!E27&lt;&gt;0,Forderung!J11,0)</f>
        <v>0</v>
      </c>
      <c r="P33" s="531"/>
      <c r="Q33" s="531"/>
      <c r="R33" s="531"/>
      <c r="S33" s="531"/>
      <c r="T33" s="531"/>
      <c r="U33" s="531"/>
      <c r="V33" s="531"/>
      <c r="W33" s="531"/>
      <c r="X33" s="531"/>
      <c r="Y33" s="531"/>
      <c r="Z33" s="531"/>
      <c r="AA33" s="531"/>
      <c r="AB33" s="531"/>
      <c r="AC33" s="532"/>
    </row>
    <row r="34" spans="1:29" s="11" customFormat="1" ht="12.75" customHeight="1" thickBot="1">
      <c r="A34" s="39"/>
      <c r="B34" s="105"/>
      <c r="C34" s="105"/>
      <c r="D34" s="105"/>
      <c r="E34" s="105"/>
      <c r="F34" s="105"/>
      <c r="J34" s="168"/>
      <c r="M34" s="46"/>
      <c r="N34" s="572">
        <v>3</v>
      </c>
      <c r="O34" s="555">
        <f>IF(Belegung!E28&lt;&gt;0,Forderung!J13,0)</f>
        <v>0</v>
      </c>
      <c r="P34" s="531"/>
      <c r="Q34" s="531"/>
      <c r="R34" s="531"/>
      <c r="S34" s="531"/>
      <c r="T34" s="531"/>
      <c r="U34" s="531"/>
      <c r="V34" s="531"/>
      <c r="W34" s="531"/>
      <c r="X34" s="531"/>
      <c r="Y34" s="531"/>
      <c r="Z34" s="531"/>
      <c r="AA34" s="531"/>
      <c r="AB34" s="531"/>
      <c r="AC34" s="532"/>
    </row>
    <row r="35" spans="1:29" s="11" customFormat="1" ht="14.25" customHeight="1">
      <c r="A35" s="39"/>
      <c r="B35" s="212"/>
      <c r="C35" s="213"/>
      <c r="D35" s="213"/>
      <c r="E35" s="213"/>
      <c r="F35" s="213"/>
      <c r="G35" s="214"/>
      <c r="H35" s="192">
        <v>1</v>
      </c>
      <c r="I35" s="193" t="s">
        <v>127</v>
      </c>
      <c r="J35" s="943"/>
      <c r="K35" s="61"/>
      <c r="L35" s="208"/>
      <c r="M35" s="578"/>
      <c r="N35" s="572">
        <v>4</v>
      </c>
      <c r="O35" s="555">
        <f>IF(Belegung!E29&lt;&gt;0,Forderung!J15,0)</f>
        <v>0</v>
      </c>
      <c r="P35" s="531"/>
      <c r="Q35" s="550" t="s">
        <v>385</v>
      </c>
      <c r="R35" s="528"/>
      <c r="S35" s="554">
        <f>IF('Allgemeine Angaben'!D7="tst",2,IF('Allgemeine Angaben'!D7="vst",1,3))</f>
        <v>3</v>
      </c>
      <c r="T35" s="541"/>
      <c r="U35" s="531"/>
      <c r="V35" s="531"/>
      <c r="W35" s="531"/>
      <c r="X35" s="531"/>
      <c r="Y35" s="531"/>
      <c r="Z35" s="531"/>
      <c r="AA35" s="531"/>
      <c r="AB35" s="531"/>
      <c r="AC35" s="532"/>
    </row>
    <row r="36" spans="1:29" s="11" customFormat="1" ht="14.25" customHeight="1" thickBot="1">
      <c r="A36" s="39"/>
      <c r="B36" s="216"/>
      <c r="C36" s="216"/>
      <c r="D36" s="216"/>
      <c r="E36" s="216"/>
      <c r="F36" s="216"/>
      <c r="G36" s="216"/>
      <c r="H36" s="192"/>
      <c r="I36" s="192"/>
      <c r="J36" s="192"/>
      <c r="K36" s="192"/>
      <c r="L36" s="192"/>
      <c r="M36" s="46"/>
      <c r="N36" s="573">
        <v>5</v>
      </c>
      <c r="O36" s="556">
        <f>IF(Belegung!E30&lt;&gt;0,Forderung!J17,0)</f>
        <v>0</v>
      </c>
      <c r="P36" s="531"/>
      <c r="Q36" s="545" t="s">
        <v>411</v>
      </c>
      <c r="R36" s="546"/>
      <c r="S36" s="546"/>
      <c r="T36" s="547"/>
      <c r="U36" s="531"/>
      <c r="V36" s="531"/>
      <c r="W36" s="531"/>
      <c r="X36" s="531"/>
      <c r="Y36" s="531"/>
      <c r="Z36" s="531"/>
      <c r="AA36" s="531"/>
      <c r="AB36" s="531"/>
      <c r="AC36" s="532"/>
    </row>
    <row r="37" spans="1:29" s="11" customFormat="1" ht="14.25" customHeight="1" thickBot="1">
      <c r="A37" s="39"/>
      <c r="C37" s="11" t="s">
        <v>112</v>
      </c>
      <c r="H37" s="217"/>
      <c r="J37" s="175" t="s">
        <v>113</v>
      </c>
      <c r="K37" s="175"/>
      <c r="L37" s="1536" t="str">
        <f>IF('Allgemeine Angaben'!L48&gt;0,"angeschlos-sene Kurz-zeitpflege","")</f>
        <v/>
      </c>
      <c r="M37" s="176"/>
      <c r="N37" s="574"/>
      <c r="O37" s="533"/>
      <c r="P37" s="534"/>
      <c r="Q37" s="535"/>
      <c r="R37" s="536"/>
      <c r="S37" s="537"/>
      <c r="T37" s="531"/>
      <c r="U37" s="531"/>
      <c r="V37" s="531"/>
      <c r="W37" s="531"/>
      <c r="X37" s="538"/>
      <c r="Y37" s="538"/>
      <c r="Z37" s="538"/>
      <c r="AA37" s="538"/>
      <c r="AB37" s="531"/>
      <c r="AC37" s="532"/>
    </row>
    <row r="38" spans="1:29" s="11" customFormat="1" ht="14.25" customHeight="1">
      <c r="A38" s="39"/>
      <c r="B38" s="218" t="s">
        <v>138</v>
      </c>
      <c r="G38" s="219"/>
      <c r="H38" s="217"/>
      <c r="J38" s="175"/>
      <c r="K38" s="175"/>
      <c r="L38" s="1536"/>
      <c r="M38" s="176"/>
      <c r="N38" s="539" t="s">
        <v>369</v>
      </c>
      <c r="O38" s="539"/>
      <c r="P38" s="539"/>
      <c r="Q38" s="540" t="s">
        <v>390</v>
      </c>
      <c r="R38" s="540"/>
      <c r="S38" s="528"/>
      <c r="T38" s="540"/>
      <c r="U38" s="540"/>
      <c r="V38" s="528"/>
      <c r="W38" s="541"/>
      <c r="X38" s="531"/>
      <c r="Y38" s="531" t="s">
        <v>374</v>
      </c>
      <c r="Z38" s="531"/>
      <c r="AA38" s="538"/>
      <c r="AB38" s="531"/>
      <c r="AC38" s="532"/>
    </row>
    <row r="39" spans="1:29" s="11" customFormat="1" ht="14.25" customHeight="1">
      <c r="A39" s="39"/>
      <c r="L39" s="1536"/>
      <c r="M39" s="46"/>
      <c r="N39" s="575"/>
      <c r="O39" s="542" t="s">
        <v>370</v>
      </c>
      <c r="P39" s="543" t="s">
        <v>371</v>
      </c>
      <c r="Q39" s="542" t="s">
        <v>380</v>
      </c>
      <c r="R39" s="543" t="s">
        <v>381</v>
      </c>
      <c r="S39" s="661" t="s">
        <v>409</v>
      </c>
      <c r="T39" s="661" t="s">
        <v>372</v>
      </c>
      <c r="U39" s="548"/>
      <c r="V39" s="543" t="s">
        <v>382</v>
      </c>
      <c r="W39" s="544"/>
      <c r="X39" s="531"/>
      <c r="Y39" s="531" t="s">
        <v>375</v>
      </c>
      <c r="Z39" s="531"/>
      <c r="AA39" s="531"/>
      <c r="AB39" s="531"/>
      <c r="AC39" s="532"/>
    </row>
    <row r="40" spans="1:29" s="11" customFormat="1" ht="14.25" customHeight="1">
      <c r="A40" s="39"/>
      <c r="B40" s="181" t="s">
        <v>139</v>
      </c>
      <c r="G40" s="217"/>
      <c r="H40" s="363" t="s">
        <v>140</v>
      </c>
      <c r="J40" s="183" t="str">
        <f>IF(ISERROR(Gesamtkalkulation!J49),"",Gesamtkalkulation!J49)</f>
        <v/>
      </c>
      <c r="K40" s="78" t="s">
        <v>75</v>
      </c>
      <c r="L40" s="183"/>
      <c r="M40" s="46"/>
      <c r="N40" s="576"/>
      <c r="O40" s="560" t="b">
        <f>IF(O32&gt;0,1,IF(O33&gt;0,2,IF(O34&gt;0,3,IF(O35&gt;0,4,IF(O36&gt;0,5)))))</f>
        <v>0</v>
      </c>
      <c r="P40" s="561" t="b">
        <f>IF(O40=1,O32,IF(O40=2,O33,IF(O40=3,O34,IF(O40=4,O35,IF(O40=5,O36)))))</f>
        <v>0</v>
      </c>
      <c r="Q40" s="562" t="b">
        <f>IF(O40=1,P40,IF(O40=2,P40*S19/R19,IF(O40=3,P40*T19/R19,IF(O40=4,P40*U19/R19,IF(O40=5,P40*V19/R19)))))</f>
        <v>0</v>
      </c>
      <c r="R40" s="563" t="b">
        <f>IF(O40=1,P40,IF(O40=2,P40/R26,IF(O40=3,P40*T26/R26,IF(O40=4,P40*U26/R26,IF(O40=5,P40*V26/R26)))))</f>
        <v>0</v>
      </c>
      <c r="S40" s="662" t="b">
        <f>IF(O40=1,P40,IF(O40=2,P40/R11*S11,IF(O40=3,P40*T11/R11,IF(O40=4,P40*U11/R11,IF(O40=5,P40*U11/R11)))))</f>
        <v>0</v>
      </c>
      <c r="T40" s="662" t="b">
        <f>IF(S35=1,Q40,IF(S35=2,R40,S40))</f>
        <v>0</v>
      </c>
      <c r="U40" s="549"/>
      <c r="V40" s="535" t="s">
        <v>356</v>
      </c>
      <c r="W40" s="532"/>
      <c r="X40" s="531"/>
      <c r="Y40" s="531" t="s">
        <v>373</v>
      </c>
      <c r="Z40" s="531"/>
      <c r="AA40" s="531"/>
      <c r="AB40" s="531"/>
      <c r="AC40" s="532"/>
    </row>
    <row r="41" spans="1:29" s="11" customFormat="1" ht="14.25" customHeight="1">
      <c r="A41" s="39"/>
      <c r="M41" s="46"/>
      <c r="N41" s="531"/>
      <c r="O41" s="560" t="b">
        <f>IF(O33&gt;0,2,IF(O34&gt;0,3,IF(O32&gt;0,1,IF(O35&gt;0,4,IF(O36&gt;0,5)))))</f>
        <v>0</v>
      </c>
      <c r="P41" s="561" t="b">
        <f>IF(O41=2,O33,IF(O41=3,O34,IF(O41=1,O32,IF(O41=4,O35,IF(O41=5,O36)))))</f>
        <v>0</v>
      </c>
      <c r="Q41" s="562" t="b">
        <f>IF(O41=2,P41,IF(O41=3,P41*T19/S19,IF(O41=1,P41/S19,IF(O41=4,P41*U19/S19,IF(O41=5,P41*V19/S19)))))</f>
        <v>0</v>
      </c>
      <c r="R41" s="563" t="b">
        <f>IF(O41=2,P41,IF(O41=3,P41*T26/S26,IF(O41=1,P41*R26/S26,IF(O41=4,P41*U26/S26,IF(O41=5,P41*V26/S26)))))</f>
        <v>0</v>
      </c>
      <c r="S41" s="662" t="b">
        <f>IF(O41=2,P41,IF(O41=3,P41*T11/S11,IF(O41=1,P41*R11/S11,IF(O41=4,P41*U11/S11,IF(O41=5,P41*V11/S11)))))</f>
        <v>0</v>
      </c>
      <c r="T41" s="662" t="b">
        <f>IF(S35=1,Q41,IF(S35=2,R41,S41))</f>
        <v>0</v>
      </c>
      <c r="U41" s="549"/>
      <c r="V41" s="535" t="s">
        <v>360</v>
      </c>
      <c r="W41" s="532"/>
      <c r="X41" s="531"/>
      <c r="Y41" s="531" t="s">
        <v>410</v>
      </c>
      <c r="Z41" s="531"/>
      <c r="AA41" s="531"/>
      <c r="AB41" s="531"/>
      <c r="AC41" s="532"/>
    </row>
    <row r="42" spans="1:29" s="11" customFormat="1" ht="14.25" customHeight="1">
      <c r="A42" s="39"/>
      <c r="B42" s="181" t="s">
        <v>141</v>
      </c>
      <c r="D42" s="220" t="s">
        <v>142</v>
      </c>
      <c r="E42" s="209"/>
      <c r="F42" s="209"/>
      <c r="G42" s="197"/>
      <c r="J42" s="183" t="str">
        <f>IF(Gesamtkalkulation!H51&gt;0,Gesamtkalkulation!H51,"")</f>
        <v/>
      </c>
      <c r="K42" s="78" t="s">
        <v>75</v>
      </c>
      <c r="L42" s="799" t="str">
        <f>IFERROR(Gesamtkalkulation!H53,"")</f>
        <v/>
      </c>
      <c r="M42" s="46"/>
      <c r="N42" s="531"/>
      <c r="O42" s="560" t="b">
        <f>IF(O34&gt;0,3,IF(O33&gt;0,2,IF(O35&gt;0,4,IF(O36&gt;0,5,IF(O32&gt;0,1)))))</f>
        <v>0</v>
      </c>
      <c r="P42" s="561" t="b">
        <f>IF(O42=3,O34,IF(O42=2,O33,IF(O42=4,O35,IF(O42=5,O36,IF(O42=1,O32)))))</f>
        <v>0</v>
      </c>
      <c r="Q42" s="562" t="b">
        <f>IF(O42=3,P42,IF(O42=2,P42*S19/T19,IF(O42=4,P42*U19/T19,IF(O42=5,P42*V19/T19,IF(O42=1,P42/T19)))))</f>
        <v>0</v>
      </c>
      <c r="R42" s="563" t="b">
        <f>IF(O42=3,P42,IF(O42=2,P42*S26/T26,IF(O42=4,P41*U26/T26,IF(O42=5,P42*V26/T26,IF(O42=1,P41*R26/T26)))))</f>
        <v>0</v>
      </c>
      <c r="S42" s="662" t="b">
        <f>IF(O42=3,P42,IF(O42=2,P42*S11/T11,IF(O42=4,P41*U11/T11,IF(O42=5,P42*V11/T11,IF(O42=1,P41*R11/T11)))))</f>
        <v>0</v>
      </c>
      <c r="T42" s="662" t="b">
        <f>IF(S35=1,Q42,IF(S35=2,R42,S42))</f>
        <v>0</v>
      </c>
      <c r="U42" s="549"/>
      <c r="V42" s="535" t="s">
        <v>359</v>
      </c>
      <c r="W42" s="532"/>
      <c r="X42" s="531"/>
      <c r="Y42" s="531" t="s">
        <v>383</v>
      </c>
      <c r="Z42" s="531"/>
      <c r="AA42" s="531"/>
      <c r="AB42" s="531"/>
      <c r="AC42" s="532"/>
    </row>
    <row r="43" spans="1:29" s="11" customFormat="1" ht="13.5" customHeight="1">
      <c r="A43" s="39"/>
      <c r="B43" s="105"/>
      <c r="C43" s="105"/>
      <c r="D43" s="105"/>
      <c r="E43" s="105"/>
      <c r="F43" s="105"/>
      <c r="J43" s="168"/>
      <c r="L43" s="168"/>
      <c r="M43" s="46"/>
      <c r="N43" s="531"/>
      <c r="O43" s="560" t="b">
        <f>IF(O35&gt;0,4,IF(O34&gt;0,3,IF(O36&gt;0,5,IF(O33&gt;0,2,IF(O32&gt;0,1)))))</f>
        <v>0</v>
      </c>
      <c r="P43" s="561" t="b">
        <f>IF(O43=4,O35,IF(O43=3,O34,IF(O43=5,O36,IF(O43=2,O33,IF(O43=1,O32)))))</f>
        <v>0</v>
      </c>
      <c r="Q43" s="562" t="b">
        <f>IF(O43=4,P43,IF(O43=3,P43*T19/U19,IF(O43=5,P43*V19/U19,IF(O43=2,P43*S19/U19,IF(O43=1,P43/U19)))))</f>
        <v>0</v>
      </c>
      <c r="R43" s="563" t="b">
        <f>IF(O43=4,P43,IF(O43=3,P43*T26/U26,IF(O43=5,P43*V26/U26,IF(O43=2,P43*S26/U26,IF(O43=1,P43*R26/U26)))))</f>
        <v>0</v>
      </c>
      <c r="S43" s="662" t="b">
        <f>IF(O43=4,P43,IF(O43=3,P43*T11/U11,IF(O43=5,P43*V11/U11,IF(O43=2,P43*S11/U11,IF(O43=1,P43*R11/U11)))))</f>
        <v>0</v>
      </c>
      <c r="T43" s="662" t="b">
        <f>IF(S35=1,Q43,IF(S35=2,R43,S43))</f>
        <v>0</v>
      </c>
      <c r="U43" s="549"/>
      <c r="V43" s="535" t="s">
        <v>358</v>
      </c>
      <c r="W43" s="532"/>
      <c r="X43" s="531"/>
      <c r="Y43" s="531" t="s">
        <v>414</v>
      </c>
      <c r="Z43" s="531"/>
      <c r="AA43" s="531"/>
      <c r="AB43" s="531"/>
      <c r="AC43" s="532"/>
    </row>
    <row r="44" spans="1:29" s="11" customFormat="1" ht="14.25" customHeight="1">
      <c r="A44" s="39"/>
      <c r="D44" s="220" t="s">
        <v>143</v>
      </c>
      <c r="E44" s="209"/>
      <c r="F44" s="209"/>
      <c r="G44" s="197"/>
      <c r="J44" s="183" t="str">
        <f>IF(ISERROR(Gesamtkalkulation!J51),"",Gesamtkalkulation!J51)</f>
        <v/>
      </c>
      <c r="K44" s="78" t="s">
        <v>75</v>
      </c>
      <c r="L44" s="799" t="str">
        <f>IFERROR(Gesamtkalkulation!J53,"")</f>
        <v/>
      </c>
      <c r="M44" s="46"/>
      <c r="N44" s="577"/>
      <c r="O44" s="560" t="b">
        <f>IF(O36&gt;0,5,IF(O35&gt;0,4,IF(O34&gt;0,3,IF(O33&gt;0,2,IF(O32&gt;0,1)))))</f>
        <v>0</v>
      </c>
      <c r="P44" s="561" t="b">
        <f>IF(O44=5,O36,IF(O44=4,O35,IF(O44=3,O34,IF(O44=2,O33,IF(O44=1,O32)))))</f>
        <v>0</v>
      </c>
      <c r="Q44" s="562" t="b">
        <f>IF(O44=5,P44,IF(O44=4,P44*U19/V19,IF(O44=3,P44*T19/V19,IF(O44=2,P44*S19/V19,IF(O44=1,P44/V19)))))</f>
        <v>0</v>
      </c>
      <c r="R44" s="563" t="b">
        <f>IF(O44=5,P44,IF(O44=4,P44*U26/V26,IF(O44=3,P44*T26/V26,IF(O44=2,P44*S26/V26,IF(O44=1,P44*R26/V26)))))</f>
        <v>0</v>
      </c>
      <c r="S44" s="662" t="b">
        <f>IF(O44=5,P44,IF(O44=4,P44*U11/V11,IF(O44=3,P44*T11/V11,IF(O44=2,P44*S11/V11,IF(O44=1,P44*R11/V11)))))</f>
        <v>0</v>
      </c>
      <c r="T44" s="662" t="b">
        <f>IF(S35=1,Q44,IF(S35=2,R44,S44))</f>
        <v>0</v>
      </c>
      <c r="U44" s="549"/>
      <c r="V44" s="535" t="s">
        <v>357</v>
      </c>
      <c r="W44" s="532"/>
      <c r="X44" s="531"/>
      <c r="Y44" s="531" t="s">
        <v>412</v>
      </c>
      <c r="Z44" s="531"/>
      <c r="AA44" s="531"/>
      <c r="AB44" s="531"/>
      <c r="AC44" s="532"/>
    </row>
    <row r="45" spans="1:29" s="11" customFormat="1" ht="9.9499999999999993" customHeight="1" thickBot="1">
      <c r="A45" s="39"/>
      <c r="B45" s="105"/>
      <c r="C45" s="105"/>
      <c r="D45" s="105"/>
      <c r="E45" s="105"/>
      <c r="F45" s="105"/>
      <c r="J45" s="168"/>
      <c r="L45" s="168"/>
      <c r="M45" s="46"/>
      <c r="N45" s="546"/>
      <c r="O45" s="546"/>
      <c r="P45" s="546"/>
      <c r="Q45" s="546"/>
      <c r="R45" s="546"/>
      <c r="S45" s="546"/>
      <c r="T45" s="546"/>
      <c r="U45" s="546"/>
      <c r="V45" s="546"/>
      <c r="W45" s="547"/>
      <c r="X45" s="546"/>
      <c r="Y45" s="531" t="s">
        <v>384</v>
      </c>
      <c r="Z45" s="531"/>
      <c r="AA45" s="531"/>
      <c r="AB45" s="546"/>
      <c r="AC45" s="547"/>
    </row>
    <row r="46" spans="1:29" s="11" customFormat="1" ht="14.25" customHeight="1">
      <c r="A46" s="39"/>
      <c r="D46" s="220" t="s">
        <v>144</v>
      </c>
      <c r="E46" s="209"/>
      <c r="F46" s="209"/>
      <c r="G46" s="197"/>
      <c r="J46" s="183" t="str">
        <f>IF(ISERROR(Gesamtkalkulation!L51),"",Gesamtkalkulation!L51)</f>
        <v/>
      </c>
      <c r="K46" s="78" t="s">
        <v>75</v>
      </c>
      <c r="L46" s="799" t="str">
        <f>IFERROR(Gesamtkalkulation!L53,"")</f>
        <v/>
      </c>
      <c r="M46" s="46"/>
      <c r="N46" s="829" t="s">
        <v>514</v>
      </c>
      <c r="O46" s="78"/>
      <c r="P46" s="526"/>
      <c r="Q46" s="526"/>
      <c r="R46" s="526"/>
      <c r="S46" s="526"/>
      <c r="T46" s="526"/>
      <c r="U46" s="526"/>
      <c r="V46" s="526"/>
      <c r="W46" s="526"/>
      <c r="X46" s="526"/>
      <c r="Y46" s="526"/>
      <c r="Z46" s="526"/>
    </row>
    <row r="47" spans="1:29" s="11" customFormat="1" ht="9.9499999999999993" customHeight="1">
      <c r="A47" s="39"/>
      <c r="B47" s="105"/>
      <c r="C47" s="105"/>
      <c r="D47" s="105"/>
      <c r="E47" s="105"/>
      <c r="F47" s="105"/>
      <c r="J47" s="168"/>
      <c r="L47" s="168"/>
      <c r="M47" s="46"/>
      <c r="N47" s="78"/>
      <c r="O47" s="78"/>
      <c r="P47" s="526"/>
      <c r="Q47" s="526"/>
      <c r="R47" s="526"/>
      <c r="S47" s="526"/>
      <c r="T47" s="526"/>
      <c r="U47" s="526"/>
      <c r="V47" s="526"/>
      <c r="W47" s="526"/>
      <c r="X47" s="526"/>
      <c r="Y47" s="526"/>
      <c r="Z47" s="526"/>
    </row>
    <row r="48" spans="1:29" s="11" customFormat="1" ht="14.25" customHeight="1">
      <c r="A48" s="39"/>
      <c r="D48" s="220" t="s">
        <v>145</v>
      </c>
      <c r="E48" s="209"/>
      <c r="F48" s="209"/>
      <c r="G48" s="197"/>
      <c r="J48" s="183" t="str">
        <f>IF(ISERROR(Gesamtkalkulation!N51),"",Gesamtkalkulation!N51)</f>
        <v/>
      </c>
      <c r="K48" s="78" t="s">
        <v>75</v>
      </c>
      <c r="L48" s="799" t="str">
        <f>IFERROR(Gesamtkalkulation!N53,"")</f>
        <v/>
      </c>
      <c r="M48" s="46"/>
      <c r="N48" s="797" t="s">
        <v>503</v>
      </c>
      <c r="O48" s="78"/>
      <c r="P48" s="526"/>
      <c r="Q48" s="526"/>
      <c r="R48" s="526"/>
      <c r="S48" s="526"/>
      <c r="T48" s="526"/>
      <c r="U48" s="526"/>
      <c r="V48" s="526"/>
      <c r="W48" s="526"/>
      <c r="X48" s="526"/>
      <c r="Y48" s="526"/>
      <c r="Z48" s="526"/>
    </row>
    <row r="49" spans="1:29" s="11" customFormat="1" ht="9.9499999999999993" customHeight="1">
      <c r="A49" s="39"/>
      <c r="B49" s="105"/>
      <c r="C49" s="105"/>
      <c r="D49" s="105"/>
      <c r="E49" s="105"/>
      <c r="F49" s="105"/>
      <c r="J49" s="168"/>
      <c r="L49" s="168"/>
      <c r="M49" s="46"/>
      <c r="N49" s="798" t="s">
        <v>504</v>
      </c>
      <c r="O49" s="78"/>
      <c r="P49" s="526"/>
      <c r="Q49" s="526"/>
      <c r="R49" s="526"/>
      <c r="S49" s="526"/>
      <c r="T49" s="526"/>
      <c r="U49" s="526"/>
      <c r="V49" s="526"/>
      <c r="W49" s="526"/>
      <c r="X49" s="526"/>
      <c r="Y49" s="526"/>
      <c r="Z49" s="526"/>
    </row>
    <row r="50" spans="1:29" s="11" customFormat="1" ht="14.25" customHeight="1">
      <c r="A50" s="39"/>
      <c r="D50" s="220" t="s">
        <v>146</v>
      </c>
      <c r="E50" s="209"/>
      <c r="F50" s="209"/>
      <c r="G50" s="197"/>
      <c r="J50" s="183" t="str">
        <f>IF(ISERROR(Gesamtkalkulation!P51),"",Gesamtkalkulation!P51)</f>
        <v/>
      </c>
      <c r="K50" s="78" t="s">
        <v>75</v>
      </c>
      <c r="L50" s="799" t="str">
        <f>IFERROR(Gesamtkalkulation!P53,"")</f>
        <v/>
      </c>
      <c r="M50" s="46"/>
      <c r="N50" s="78"/>
      <c r="O50" s="78"/>
      <c r="P50" s="526"/>
      <c r="Q50" s="526"/>
      <c r="R50" s="526"/>
      <c r="S50" s="526"/>
      <c r="T50" s="526"/>
      <c r="U50" s="526"/>
      <c r="V50" s="526"/>
      <c r="W50" s="526"/>
      <c r="X50" s="526"/>
      <c r="Y50" s="526"/>
      <c r="Z50" s="526"/>
    </row>
    <row r="51" spans="1:29" s="11" customFormat="1" ht="9.9499999999999993" customHeight="1">
      <c r="A51" s="39"/>
      <c r="B51" s="105"/>
      <c r="C51" s="105"/>
      <c r="D51" s="105"/>
      <c r="E51" s="105"/>
      <c r="F51" s="105"/>
      <c r="J51" s="168"/>
      <c r="L51" s="168"/>
      <c r="M51" s="46"/>
      <c r="N51" s="78"/>
      <c r="O51" s="78"/>
      <c r="P51" s="526"/>
      <c r="Q51" s="526"/>
      <c r="R51" s="526"/>
      <c r="S51" s="526"/>
      <c r="T51" s="526"/>
      <c r="U51" s="526"/>
      <c r="V51" s="526"/>
      <c r="W51" s="526"/>
      <c r="X51" s="526"/>
      <c r="Y51" s="526"/>
      <c r="Z51" s="526"/>
    </row>
    <row r="52" spans="1:29" s="11" customFormat="1" ht="14.25" customHeight="1">
      <c r="A52" s="39"/>
      <c r="D52" s="204" t="s">
        <v>501</v>
      </c>
      <c r="E52" s="205"/>
      <c r="F52" s="205"/>
      <c r="G52" s="416"/>
      <c r="H52" s="105"/>
      <c r="I52" s="105"/>
      <c r="J52" s="183" t="str">
        <f>IF('Allgemeine Angaben'!$D$7="tst",Beförderung!G52,"")</f>
        <v/>
      </c>
      <c r="K52" s="417" t="s">
        <v>75</v>
      </c>
      <c r="L52" s="799"/>
      <c r="M52" s="46"/>
      <c r="N52" s="790" t="s">
        <v>502</v>
      </c>
      <c r="P52" s="526"/>
      <c r="Q52" s="526"/>
      <c r="R52" s="526"/>
      <c r="S52" s="526"/>
      <c r="T52" s="526"/>
      <c r="U52" s="526"/>
      <c r="V52" s="526"/>
      <c r="W52" s="526"/>
      <c r="X52" s="526"/>
      <c r="Y52" s="526"/>
      <c r="Z52" s="526"/>
    </row>
    <row r="53" spans="1:29" s="11" customFormat="1" ht="14.25" customHeight="1">
      <c r="A53" s="39"/>
      <c r="D53" s="463"/>
      <c r="E53" s="463"/>
      <c r="F53" s="463"/>
      <c r="G53" s="463"/>
      <c r="H53" s="463"/>
      <c r="I53" s="463"/>
      <c r="J53" s="795"/>
      <c r="K53" s="417"/>
      <c r="L53" s="795"/>
      <c r="M53" s="46"/>
      <c r="N53" s="790" t="s">
        <v>500</v>
      </c>
      <c r="P53" s="526"/>
      <c r="Q53" s="526"/>
      <c r="R53" s="526"/>
      <c r="S53" s="526"/>
      <c r="T53" s="526"/>
      <c r="U53" s="526"/>
      <c r="V53" s="526"/>
      <c r="W53" s="526"/>
      <c r="X53" s="526"/>
      <c r="Y53" s="526"/>
      <c r="Z53" s="526"/>
    </row>
    <row r="54" spans="1:29" s="11" customFormat="1" ht="9" customHeight="1">
      <c r="A54" s="39"/>
      <c r="B54" s="105"/>
      <c r="C54" s="105"/>
      <c r="D54" s="105"/>
      <c r="E54" s="105"/>
      <c r="F54" s="105"/>
      <c r="J54" s="168"/>
      <c r="L54" s="168"/>
      <c r="M54" s="46"/>
    </row>
    <row r="55" spans="1:29" s="11" customFormat="1" ht="14.25" customHeight="1" thickBot="1">
      <c r="A55" s="39"/>
      <c r="D55" s="204" t="s">
        <v>147</v>
      </c>
      <c r="E55" s="205"/>
      <c r="F55" s="209"/>
      <c r="G55" s="197"/>
      <c r="J55" s="183" t="str">
        <f>IF(ISERROR(Gesamtkalkulation!V51),"",Gesamtkalkulation!V51)</f>
        <v/>
      </c>
      <c r="K55" s="78" t="s">
        <v>75</v>
      </c>
      <c r="L55" s="799" t="str">
        <f>IFERROR(Gesamtkalkulation!V53,"")</f>
        <v/>
      </c>
      <c r="M55" s="46"/>
      <c r="N55" s="684" t="s">
        <v>432</v>
      </c>
      <c r="O55" s="651"/>
      <c r="P55" s="651"/>
      <c r="Q55" s="651"/>
      <c r="R55" s="651"/>
      <c r="S55" s="627"/>
      <c r="T55" s="627"/>
      <c r="U55" s="627"/>
      <c r="V55" s="627"/>
      <c r="W55" s="627"/>
      <c r="X55" s="657"/>
      <c r="Y55" s="657"/>
      <c r="Z55" s="627"/>
      <c r="AA55" s="627"/>
      <c r="AB55" s="627"/>
      <c r="AC55" s="627"/>
    </row>
    <row r="56" spans="1:29" s="11" customFormat="1" ht="9.9499999999999993" customHeight="1" thickTop="1" thickBot="1">
      <c r="A56" s="39"/>
      <c r="B56" s="105"/>
      <c r="C56" s="105"/>
      <c r="D56" s="105"/>
      <c r="E56" s="105"/>
      <c r="F56" s="105"/>
      <c r="J56" s="168"/>
      <c r="L56" s="168"/>
      <c r="M56" s="46"/>
      <c r="N56" s="627"/>
      <c r="O56" s="627"/>
      <c r="P56" s="627"/>
      <c r="Q56" s="627"/>
      <c r="R56" s="627"/>
      <c r="S56" s="627"/>
      <c r="T56" s="627"/>
      <c r="U56" s="627"/>
      <c r="V56" s="627"/>
      <c r="W56" s="627"/>
      <c r="X56" s="627"/>
      <c r="Y56" s="627"/>
      <c r="Z56" s="627"/>
      <c r="AA56" s="627"/>
      <c r="AB56" s="627"/>
      <c r="AC56" s="627"/>
    </row>
    <row r="57" spans="1:29" s="11" customFormat="1" ht="14.25" customHeight="1">
      <c r="A57" s="39"/>
      <c r="B57" s="181" t="s">
        <v>148</v>
      </c>
      <c r="D57" s="220" t="s">
        <v>149</v>
      </c>
      <c r="E57" s="209"/>
      <c r="F57" s="209"/>
      <c r="G57" s="197"/>
      <c r="J57" s="183" t="str">
        <f>IF(ISERROR(Gesamtkalkulation!R51),"",Gesamtkalkulation!R51)</f>
        <v/>
      </c>
      <c r="K57" s="78" t="s">
        <v>75</v>
      </c>
      <c r="L57" s="799" t="str">
        <f>IFERROR(Gesamtkalkulation!R53,"")</f>
        <v/>
      </c>
      <c r="M57" s="46"/>
      <c r="N57" s="628" t="s">
        <v>363</v>
      </c>
      <c r="O57" s="629" t="s">
        <v>398</v>
      </c>
      <c r="P57" s="627"/>
      <c r="Q57" s="627"/>
      <c r="R57" s="627"/>
      <c r="S57" s="627"/>
      <c r="T57" s="627"/>
      <c r="U57" s="627"/>
      <c r="V57" s="627"/>
      <c r="W57" s="682" t="s">
        <v>415</v>
      </c>
      <c r="X57" s="627"/>
      <c r="Y57" s="627"/>
      <c r="Z57" s="656"/>
      <c r="AA57" s="627"/>
      <c r="AB57" s="627"/>
      <c r="AC57" s="627"/>
    </row>
    <row r="58" spans="1:29" s="11" customFormat="1" ht="9.9499999999999993" customHeight="1">
      <c r="A58" s="39"/>
      <c r="B58" s="105"/>
      <c r="C58" s="105"/>
      <c r="D58" s="105"/>
      <c r="E58" s="105"/>
      <c r="F58" s="105"/>
      <c r="J58" s="168"/>
      <c r="L58" s="168"/>
      <c r="M58" s="46"/>
      <c r="N58" s="630">
        <v>1</v>
      </c>
      <c r="O58" s="631">
        <f>IF(Belegung!E26&lt;&gt;0,Gesamtkalkulation!H47,0)</f>
        <v>0</v>
      </c>
      <c r="P58" s="627"/>
      <c r="Q58" s="627"/>
      <c r="R58" s="627"/>
      <c r="S58" s="627"/>
      <c r="T58" s="627"/>
      <c r="U58" s="627"/>
      <c r="V58" s="627"/>
      <c r="W58" s="627" t="s">
        <v>416</v>
      </c>
      <c r="X58" s="627"/>
      <c r="Y58" s="627"/>
      <c r="Z58" s="627"/>
      <c r="AA58" s="627"/>
      <c r="AB58" s="627"/>
      <c r="AC58" s="627"/>
    </row>
    <row r="59" spans="1:29" s="11" customFormat="1" ht="14.25" customHeight="1" thickBot="1">
      <c r="A59" s="39"/>
      <c r="D59" s="220" t="s">
        <v>150</v>
      </c>
      <c r="E59" s="209"/>
      <c r="F59" s="209"/>
      <c r="G59" s="197"/>
      <c r="J59" s="183" t="str">
        <f>IF(ISERROR(Gesamtkalkulation!T51),"",Gesamtkalkulation!T51)</f>
        <v/>
      </c>
      <c r="K59" s="78" t="s">
        <v>75</v>
      </c>
      <c r="L59" s="799" t="str">
        <f>IFERROR(Gesamtkalkulation!T53,"")</f>
        <v/>
      </c>
      <c r="M59" s="46"/>
      <c r="N59" s="630">
        <v>2</v>
      </c>
      <c r="O59" s="681" t="str">
        <f>IF(Belegung!E27&lt;&gt;0,Gesamtkalkulation!J47,"")</f>
        <v/>
      </c>
      <c r="P59" s="627"/>
      <c r="Q59" s="627"/>
      <c r="R59" s="627"/>
      <c r="S59" s="627"/>
      <c r="T59" s="627"/>
      <c r="U59" s="627"/>
      <c r="V59" s="627"/>
      <c r="W59" s="627" t="s">
        <v>417</v>
      </c>
      <c r="X59" s="627"/>
      <c r="Y59" s="627"/>
      <c r="Z59" s="627"/>
      <c r="AA59" s="627"/>
      <c r="AB59" s="627"/>
      <c r="AC59" s="627"/>
    </row>
    <row r="60" spans="1:29" s="11" customFormat="1" ht="14.25" customHeight="1">
      <c r="A60" s="39"/>
      <c r="L60" s="78"/>
      <c r="M60" s="46"/>
      <c r="N60" s="630">
        <v>3</v>
      </c>
      <c r="O60" s="681" t="str">
        <f>IF(Belegung!E28&lt;&gt;0,Gesamtkalkulation!L47,"")</f>
        <v/>
      </c>
      <c r="P60" s="627"/>
      <c r="Q60" s="632" t="s">
        <v>385</v>
      </c>
      <c r="R60" s="633"/>
      <c r="S60" s="652" t="str">
        <f>IF('Allgemeine Angaben'!D7="tst","tst",IF('Allgemeine Angaben'!D7="kzp","KZP",""))</f>
        <v/>
      </c>
      <c r="T60" s="634"/>
      <c r="U60" s="627"/>
      <c r="V60" s="627"/>
      <c r="W60" s="627" t="s">
        <v>418</v>
      </c>
      <c r="X60" s="627"/>
      <c r="Y60" s="627"/>
      <c r="Z60" s="627"/>
      <c r="AA60" s="627"/>
      <c r="AB60" s="627"/>
      <c r="AC60" s="627"/>
    </row>
    <row r="61" spans="1:29" s="11" customFormat="1" ht="14.25" customHeight="1" thickBot="1">
      <c r="A61" s="39"/>
      <c r="K61" s="78"/>
      <c r="L61" s="78"/>
      <c r="M61" s="46"/>
      <c r="N61" s="630">
        <v>4</v>
      </c>
      <c r="O61" s="681" t="str">
        <f>IF(Belegung!E29&lt;&gt;0,Gesamtkalkulation!N47,"")</f>
        <v/>
      </c>
      <c r="P61" s="627"/>
      <c r="Q61" s="635" t="s">
        <v>404</v>
      </c>
      <c r="R61" s="636"/>
      <c r="S61" s="636"/>
      <c r="T61" s="637"/>
      <c r="U61" s="627"/>
      <c r="V61" s="627"/>
      <c r="W61" s="627"/>
      <c r="X61" s="627"/>
      <c r="Y61" s="627"/>
      <c r="Z61" s="627"/>
      <c r="AA61" s="627"/>
      <c r="AB61" s="627"/>
      <c r="AC61" s="627"/>
    </row>
    <row r="62" spans="1:29" s="11" customFormat="1" ht="14.25" customHeight="1">
      <c r="A62" s="39"/>
      <c r="B62" s="181" t="s">
        <v>151</v>
      </c>
      <c r="D62" s="221" t="s">
        <v>152</v>
      </c>
      <c r="E62" s="222"/>
      <c r="F62" s="222"/>
      <c r="G62" s="223"/>
      <c r="M62" s="46"/>
      <c r="N62" s="638">
        <v>5</v>
      </c>
      <c r="O62" s="639">
        <f>IF(Belegung!E30&lt;&gt;0,Gesamtkalkulation!P47,0)</f>
        <v>0</v>
      </c>
      <c r="P62" s="627"/>
      <c r="Q62" s="627"/>
      <c r="R62" s="627"/>
      <c r="S62" s="627"/>
      <c r="T62" s="627"/>
      <c r="U62" s="627"/>
      <c r="V62" s="627"/>
      <c r="W62" s="627"/>
      <c r="X62" s="627"/>
      <c r="Y62" s="627"/>
      <c r="Z62" s="627"/>
      <c r="AA62" s="627"/>
      <c r="AB62" s="627"/>
      <c r="AC62" s="627"/>
    </row>
    <row r="63" spans="1:29" s="11" customFormat="1" ht="14.25" customHeight="1">
      <c r="A63" s="39"/>
      <c r="D63" s="1533" t="s">
        <v>153</v>
      </c>
      <c r="E63" s="1534"/>
      <c r="F63" s="1534"/>
      <c r="G63" s="1535"/>
      <c r="J63" s="183" t="str">
        <f>IF(J35&gt;0,ROUND(('Allgemeine Angaben'!L47/J35*(Personalaufwendungen!I66*(1+pnk)*(1+risiko)))/('Allgemeine Angaben'!L47*Belegung!D8*Belegung!G6/100),2),"")</f>
        <v/>
      </c>
      <c r="K63" s="78" t="s">
        <v>75</v>
      </c>
      <c r="L63" s="78"/>
      <c r="M63" s="46"/>
      <c r="N63" s="640"/>
      <c r="O63" s="627"/>
      <c r="P63" s="627"/>
      <c r="Q63" s="627"/>
      <c r="R63" s="627"/>
      <c r="S63" s="627"/>
      <c r="T63" s="627"/>
      <c r="U63" s="627"/>
      <c r="V63" s="627"/>
      <c r="W63" s="627"/>
      <c r="X63" s="627"/>
      <c r="Y63" s="683" t="s">
        <v>419</v>
      </c>
      <c r="Z63" s="627"/>
      <c r="AA63" s="627"/>
      <c r="AB63" s="627"/>
      <c r="AC63" s="627"/>
    </row>
    <row r="64" spans="1:29" s="11" customFormat="1" ht="12.75" customHeight="1">
      <c r="A64" s="39"/>
      <c r="B64" s="186"/>
      <c r="M64" s="46"/>
      <c r="N64" s="627" t="s">
        <v>403</v>
      </c>
      <c r="O64" s="627"/>
      <c r="P64" s="627"/>
      <c r="Q64" s="627"/>
      <c r="R64" s="627" t="s">
        <v>402</v>
      </c>
      <c r="S64" s="627"/>
      <c r="T64" s="627"/>
      <c r="U64" s="627"/>
      <c r="V64" s="627"/>
      <c r="W64" s="627"/>
      <c r="X64" s="627"/>
      <c r="Y64" s="627" t="s">
        <v>433</v>
      </c>
      <c r="Z64" s="627"/>
      <c r="AA64" s="627"/>
      <c r="AB64" s="627"/>
      <c r="AC64" s="627"/>
    </row>
    <row r="65" spans="1:29" s="11" customFormat="1" ht="14.25" customHeight="1">
      <c r="A65" s="39"/>
      <c r="B65" s="187"/>
      <c r="C65" s="105"/>
      <c r="D65" s="105"/>
      <c r="E65" s="105"/>
      <c r="F65" s="105"/>
      <c r="G65" s="105"/>
      <c r="H65" s="105"/>
      <c r="I65" s="105"/>
      <c r="J65" s="105"/>
      <c r="K65" s="105"/>
      <c r="L65" s="105"/>
      <c r="M65" s="46"/>
      <c r="N65" s="641"/>
      <c r="O65" s="642" t="s">
        <v>370</v>
      </c>
      <c r="P65" s="641" t="s">
        <v>371</v>
      </c>
      <c r="Q65" s="643" t="s">
        <v>400</v>
      </c>
      <c r="R65" s="644" t="s">
        <v>401</v>
      </c>
      <c r="S65" s="642"/>
      <c r="T65" s="641" t="s">
        <v>399</v>
      </c>
      <c r="U65" s="641" t="s">
        <v>407</v>
      </c>
      <c r="V65" s="642"/>
      <c r="W65" s="642" t="s">
        <v>382</v>
      </c>
      <c r="X65" s="627"/>
      <c r="Y65" s="627" t="s">
        <v>420</v>
      </c>
      <c r="Z65" s="627"/>
      <c r="AA65" s="627"/>
      <c r="AB65" s="627"/>
      <c r="AC65" s="627"/>
    </row>
    <row r="66" spans="1:29" s="11" customFormat="1" ht="12.75">
      <c r="A66" s="39"/>
      <c r="B66" s="16" t="s">
        <v>154</v>
      </c>
      <c r="C66" s="105"/>
      <c r="D66" s="105"/>
      <c r="E66" s="84"/>
      <c r="F66" s="105"/>
      <c r="G66" s="105"/>
      <c r="H66" s="224"/>
      <c r="I66" s="224"/>
      <c r="J66" s="105"/>
      <c r="K66" s="105"/>
      <c r="L66" s="105"/>
      <c r="M66" s="46"/>
      <c r="N66" s="645"/>
      <c r="O66" s="646"/>
      <c r="P66" s="647"/>
      <c r="Q66" s="647" t="e">
        <f>IF(O58=0,O59*R26/S26,0)</f>
        <v>#VALUE!</v>
      </c>
      <c r="R66" s="646" t="e">
        <f>IF(O58=0,O59*R11/S11,0)</f>
        <v>#VALUE!</v>
      </c>
      <c r="S66" s="646"/>
      <c r="T66" s="647" t="e">
        <f>IF(S60="tst",Q66,R66)</f>
        <v>#VALUE!</v>
      </c>
      <c r="U66" s="655" t="e">
        <f>IF(O58=0,T66,O58)</f>
        <v>#VALUE!</v>
      </c>
      <c r="V66" s="627"/>
      <c r="W66" s="648" t="s">
        <v>356</v>
      </c>
      <c r="X66" s="627"/>
      <c r="Y66" s="627" t="s">
        <v>421</v>
      </c>
      <c r="Z66" s="627"/>
      <c r="AA66" s="627"/>
      <c r="AB66" s="627"/>
      <c r="AC66" s="627"/>
    </row>
    <row r="67" spans="1:29" s="11" customFormat="1" ht="12.75">
      <c r="A67" s="39"/>
      <c r="B67" s="16"/>
      <c r="C67" s="105"/>
      <c r="D67" s="105"/>
      <c r="E67" s="84"/>
      <c r="F67" s="105"/>
      <c r="G67" s="105"/>
      <c r="H67" s="224"/>
      <c r="I67" s="224"/>
      <c r="J67" s="105"/>
      <c r="K67" s="105"/>
      <c r="L67" s="105"/>
      <c r="M67" s="46"/>
      <c r="N67" s="645"/>
      <c r="O67" s="679"/>
      <c r="P67" s="680"/>
      <c r="Q67" s="680"/>
      <c r="R67" s="679"/>
      <c r="S67" s="679"/>
      <c r="T67" s="680"/>
      <c r="U67" s="655" t="str">
        <f>IF(O59=0,T67,O59)</f>
        <v/>
      </c>
      <c r="V67" s="627"/>
      <c r="W67" s="648" t="s">
        <v>360</v>
      </c>
      <c r="X67" s="627"/>
      <c r="Y67" s="627" t="s">
        <v>422</v>
      </c>
      <c r="Z67" s="627"/>
      <c r="AA67" s="627"/>
      <c r="AB67" s="627"/>
      <c r="AC67" s="627"/>
    </row>
    <row r="68" spans="1:29" s="11" customFormat="1" ht="12.75">
      <c r="A68" s="39"/>
      <c r="B68" s="16"/>
      <c r="C68" s="105"/>
      <c r="D68" s="105"/>
      <c r="E68" s="84"/>
      <c r="F68" s="105"/>
      <c r="G68" s="105"/>
      <c r="H68" s="224"/>
      <c r="I68" s="224"/>
      <c r="J68" s="105"/>
      <c r="K68" s="105"/>
      <c r="L68" s="105"/>
      <c r="M68" s="46"/>
      <c r="N68" s="645"/>
      <c r="O68" s="679"/>
      <c r="P68" s="680"/>
      <c r="Q68" s="680"/>
      <c r="R68" s="679"/>
      <c r="S68" s="679"/>
      <c r="T68" s="680"/>
      <c r="U68" s="655" t="str">
        <f>IF(O60=0,T68,O60)</f>
        <v/>
      </c>
      <c r="V68" s="627"/>
      <c r="W68" s="648" t="s">
        <v>359</v>
      </c>
      <c r="X68" s="627"/>
      <c r="Y68" s="627" t="s">
        <v>423</v>
      </c>
      <c r="Z68" s="627"/>
      <c r="AA68" s="627"/>
      <c r="AB68" s="627"/>
      <c r="AC68" s="627"/>
    </row>
    <row r="69" spans="1:29" s="11" customFormat="1" ht="12.75">
      <c r="A69" s="39"/>
      <c r="B69" s="16"/>
      <c r="C69" s="105"/>
      <c r="D69" s="105"/>
      <c r="E69" s="84"/>
      <c r="F69" s="105"/>
      <c r="G69" s="105"/>
      <c r="H69" s="224"/>
      <c r="I69" s="224"/>
      <c r="J69" s="105"/>
      <c r="K69" s="105"/>
      <c r="L69" s="105"/>
      <c r="M69" s="46"/>
      <c r="N69" s="645"/>
      <c r="O69" s="679"/>
      <c r="P69" s="680"/>
      <c r="Q69" s="680"/>
      <c r="R69" s="679"/>
      <c r="S69" s="679"/>
      <c r="T69" s="680"/>
      <c r="U69" s="655" t="str">
        <f>IF(O61=0,T69,O61)</f>
        <v/>
      </c>
      <c r="V69" s="627"/>
      <c r="W69" s="648" t="s">
        <v>358</v>
      </c>
      <c r="X69" s="627"/>
      <c r="Y69" s="627" t="s">
        <v>424</v>
      </c>
      <c r="Z69" s="627"/>
      <c r="AA69" s="627"/>
      <c r="AB69" s="627"/>
      <c r="AC69" s="627"/>
    </row>
    <row r="70" spans="1:29" s="11" customFormat="1" ht="12.75">
      <c r="A70" s="39"/>
      <c r="M70" s="46"/>
      <c r="N70" s="645"/>
      <c r="O70" s="646"/>
      <c r="P70" s="647"/>
      <c r="Q70" s="649" t="e">
        <f>IF(O62=0,O61/U26*V26,0)</f>
        <v>#VALUE!</v>
      </c>
      <c r="R70" s="646" t="e">
        <f>IF(O62=0,O61*V11/U11,0)</f>
        <v>#VALUE!</v>
      </c>
      <c r="S70" s="646"/>
      <c r="T70" s="647" t="e">
        <f>IF(S60="tst",Q70,R70)</f>
        <v>#VALUE!</v>
      </c>
      <c r="U70" s="655" t="e">
        <f>IF(O62=0,T70,O62)</f>
        <v>#VALUE!</v>
      </c>
      <c r="V70" s="627"/>
      <c r="W70" s="648" t="s">
        <v>357</v>
      </c>
      <c r="X70" s="627"/>
      <c r="Y70" s="627" t="s">
        <v>425</v>
      </c>
      <c r="Z70" s="627"/>
      <c r="AA70" s="627"/>
      <c r="AB70" s="627"/>
      <c r="AC70" s="627"/>
    </row>
    <row r="71" spans="1:29" s="11" customFormat="1">
      <c r="A71" s="39"/>
      <c r="B71" s="1532"/>
      <c r="C71" s="1545"/>
      <c r="D71" s="1545"/>
      <c r="F71" s="1532"/>
      <c r="G71" s="1532"/>
      <c r="H71" s="1532"/>
      <c r="I71" s="1532"/>
      <c r="J71" s="1532"/>
      <c r="K71" s="1532"/>
      <c r="M71" s="46"/>
      <c r="N71" s="627"/>
      <c r="O71" s="627"/>
      <c r="P71" s="627"/>
      <c r="Q71" s="627"/>
      <c r="R71" s="627"/>
      <c r="S71" s="627"/>
      <c r="T71" s="627"/>
      <c r="U71" s="627"/>
      <c r="V71" s="627"/>
      <c r="W71" s="627"/>
      <c r="X71" s="627"/>
      <c r="Y71" s="627" t="s">
        <v>426</v>
      </c>
      <c r="Z71" s="627"/>
      <c r="AA71" s="627"/>
      <c r="AB71" s="627"/>
      <c r="AC71" s="627"/>
    </row>
    <row r="72" spans="1:29" ht="10.5" customHeight="1">
      <c r="A72" s="2"/>
      <c r="B72" s="13" t="s">
        <v>247</v>
      </c>
      <c r="C72" s="13"/>
      <c r="D72" s="13"/>
      <c r="F72" s="13" t="s">
        <v>155</v>
      </c>
      <c r="G72" s="13"/>
      <c r="H72" s="13"/>
      <c r="L72" s="11"/>
      <c r="M72" s="4"/>
      <c r="N72" s="650"/>
      <c r="O72" s="650"/>
      <c r="P72" s="650"/>
      <c r="Q72" s="627"/>
      <c r="R72" s="627"/>
      <c r="S72" s="627"/>
      <c r="T72" s="627"/>
      <c r="U72" s="627"/>
      <c r="V72" s="627"/>
      <c r="W72" s="650"/>
      <c r="X72" s="650"/>
      <c r="Y72" s="627" t="s">
        <v>427</v>
      </c>
      <c r="Z72" s="650"/>
      <c r="AA72" s="650"/>
      <c r="AB72" s="650"/>
      <c r="AC72" s="650"/>
    </row>
    <row r="73" spans="1:29">
      <c r="A73" s="54"/>
      <c r="B73" s="55"/>
      <c r="C73" s="55"/>
      <c r="D73" s="55"/>
      <c r="E73" s="55"/>
      <c r="F73" s="55"/>
      <c r="G73" s="55"/>
      <c r="H73" s="55"/>
      <c r="I73" s="55"/>
      <c r="J73" s="55"/>
      <c r="K73" s="55"/>
      <c r="L73" s="55"/>
      <c r="M73" s="1166"/>
      <c r="N73" s="653" t="s">
        <v>406</v>
      </c>
      <c r="O73" s="653"/>
      <c r="P73" s="653"/>
      <c r="Q73" s="653"/>
      <c r="R73" s="653"/>
      <c r="S73" s="653"/>
      <c r="T73" s="653"/>
      <c r="U73" s="653"/>
      <c r="V73" s="653"/>
      <c r="W73" s="626"/>
      <c r="X73" s="626"/>
      <c r="Y73" s="653" t="s">
        <v>428</v>
      </c>
      <c r="Z73" s="626"/>
      <c r="AA73" s="626"/>
      <c r="AB73" s="626"/>
      <c r="AC73" s="626"/>
    </row>
    <row r="74" spans="1:29" ht="15" thickBot="1">
      <c r="N74" s="653" t="s">
        <v>405</v>
      </c>
      <c r="O74" s="626"/>
      <c r="P74" s="626"/>
      <c r="Q74" s="626"/>
      <c r="R74" s="626"/>
      <c r="S74" s="626"/>
      <c r="T74" s="626"/>
      <c r="U74" s="626"/>
      <c r="V74" s="626"/>
      <c r="W74" s="653"/>
      <c r="X74" s="626"/>
      <c r="Y74" s="653" t="s">
        <v>429</v>
      </c>
      <c r="Z74" s="626"/>
      <c r="AA74" s="626"/>
      <c r="AB74" s="626"/>
      <c r="AC74" s="626"/>
    </row>
    <row r="75" spans="1:29" ht="15" thickBot="1">
      <c r="C75" s="1370" t="s">
        <v>269</v>
      </c>
      <c r="D75" s="1371"/>
      <c r="E75" s="1371"/>
      <c r="F75" s="1371"/>
      <c r="G75" s="1371"/>
      <c r="H75" s="1371"/>
      <c r="I75" s="1372"/>
      <c r="N75" s="653"/>
      <c r="O75" s="653"/>
      <c r="P75" s="653"/>
      <c r="Q75" s="653"/>
      <c r="R75" s="653"/>
      <c r="S75" s="653"/>
      <c r="T75" s="653"/>
      <c r="U75" s="653"/>
      <c r="V75" s="653"/>
      <c r="W75" s="653"/>
      <c r="X75" s="626"/>
      <c r="Y75" s="653" t="s">
        <v>430</v>
      </c>
      <c r="Z75" s="626"/>
      <c r="AA75" s="626"/>
      <c r="AB75" s="626"/>
      <c r="AC75" s="626"/>
    </row>
    <row r="76" spans="1:29">
      <c r="N76" s="653"/>
      <c r="O76" s="653"/>
      <c r="P76" s="653"/>
      <c r="Q76" s="653"/>
      <c r="R76" s="653"/>
      <c r="S76" s="653"/>
      <c r="T76" s="653"/>
      <c r="U76" s="653"/>
      <c r="V76" s="653"/>
      <c r="W76" s="653"/>
      <c r="X76" s="626"/>
      <c r="Y76" s="653" t="s">
        <v>431</v>
      </c>
      <c r="Z76" s="626"/>
      <c r="AA76" s="626"/>
      <c r="AB76" s="626"/>
      <c r="AC76" s="626"/>
    </row>
    <row r="77" spans="1:29">
      <c r="N77" s="626"/>
      <c r="O77" s="626"/>
      <c r="P77" s="626"/>
      <c r="Q77" s="626"/>
      <c r="R77" s="626"/>
      <c r="S77" s="626"/>
      <c r="T77" s="626"/>
      <c r="U77" s="626"/>
      <c r="V77" s="626"/>
      <c r="W77" s="626"/>
      <c r="X77" s="626"/>
      <c r="Y77" s="626"/>
      <c r="Z77" s="626"/>
      <c r="AA77" s="626"/>
      <c r="AB77" s="626"/>
      <c r="AC77" s="626"/>
    </row>
  </sheetData>
  <sheetProtection algorithmName="SHA-512" hashValue="dhGhANAxgf5bQjDqllAYnUWhNrdIEL8EtVeW+5c726ujNQ3boQQTLXZx7bHbQYi2Xegd1Lrof/fkJMWAmaRi1Q==" saltValue="pB/I4EULKTi0K17rkMHgtw==" spinCount="100000" sheet="1" objects="1" scenarios="1"/>
  <customSheetViews>
    <customSheetView guid="{CDDBAA41-0D3E-44AF-A85A-332C81A5DAE4}" showGridLines="0" fitToPage="1" hiddenColumns="1">
      <pane ySplit="4" topLeftCell="A5" activePane="bottomLeft" state="frozen"/>
      <selection pane="bottomLeft" activeCell="J17" sqref="J17"/>
      <pageMargins left="0.70866141732283472" right="0.70866141732283472" top="0.78740157480314965" bottom="0.78740157480314965" header="0.31496062992125984" footer="0.31496062992125984"/>
      <pageSetup paperSize="9" scale="82" orientation="portrait"/>
      <headerFooter>
        <oddHeader>&amp;C&amp;9Seite 5</oddHeader>
        <oddFooter>&amp;C&amp;8Verhandlungsunterlagen SGB XI&amp;R&amp;8Version Kostenträger Stand: 29.11.2018</oddFooter>
      </headerFooter>
    </customSheetView>
  </customSheetViews>
  <mergeCells count="14">
    <mergeCell ref="Q26:Q27"/>
    <mergeCell ref="R15:V15"/>
    <mergeCell ref="Q19:Q20"/>
    <mergeCell ref="Q22:Q24"/>
    <mergeCell ref="C75:I75"/>
    <mergeCell ref="F71:K71"/>
    <mergeCell ref="B71:D71"/>
    <mergeCell ref="F19:G19"/>
    <mergeCell ref="A1:M1"/>
    <mergeCell ref="A2:M2"/>
    <mergeCell ref="A3:M3"/>
    <mergeCell ref="A4:M4"/>
    <mergeCell ref="D63:G63"/>
    <mergeCell ref="L37:L39"/>
  </mergeCells>
  <conditionalFormatting sqref="F19">
    <cfRule type="expression" dxfId="54" priority="42">
      <formula>$F$19=0</formula>
    </cfRule>
  </conditionalFormatting>
  <conditionalFormatting sqref="J19">
    <cfRule type="expression" dxfId="52" priority="43">
      <formula>$J$19=0</formula>
    </cfRule>
  </conditionalFormatting>
  <conditionalFormatting sqref="J46">
    <cfRule type="containsText" dxfId="51" priority="33" operator="containsText" text="FALSCH">
      <formula>NOT(ISERROR(SEARCH("FALSCH",J46)))</formula>
    </cfRule>
  </conditionalFormatting>
  <conditionalFormatting sqref="J48">
    <cfRule type="containsText" dxfId="50" priority="32" operator="containsText" text="FALSCH">
      <formula>NOT(ISERROR(SEARCH("FALSCH",J48)))</formula>
    </cfRule>
  </conditionalFormatting>
  <conditionalFormatting sqref="J50">
    <cfRule type="containsText" dxfId="49" priority="31" operator="containsText" text="FALSCH">
      <formula>NOT(ISERROR(SEARCH("FALSCH",J50)))</formula>
    </cfRule>
  </conditionalFormatting>
  <conditionalFormatting sqref="L9:L17">
    <cfRule type="containsText" dxfId="47" priority="34" operator="containsText" text="FALSCH">
      <formula>NOT(ISERROR(SEARCH("FALSCH",L9)))</formula>
    </cfRule>
    <cfRule type="containsErrors" dxfId="46" priority="35">
      <formula>ISERROR(L9)</formula>
    </cfRule>
  </conditionalFormatting>
  <conditionalFormatting sqref="L23">
    <cfRule type="expression" dxfId="45" priority="44">
      <formula>$L$23=0</formula>
    </cfRule>
  </conditionalFormatting>
  <conditionalFormatting sqref="L40">
    <cfRule type="expression" dxfId="43" priority="21">
      <formula>"Wennoder('Allgemeine Angaben'!$L$45&lt;0;'Allgemeine Angaben'!$L$45=0)"</formula>
    </cfRule>
  </conditionalFormatting>
  <conditionalFormatting sqref="L42">
    <cfRule type="containsText" dxfId="39" priority="15" operator="containsText" text="FALSCH">
      <formula>NOT(ISERROR(SEARCH("FALSCH",L42)))</formula>
    </cfRule>
  </conditionalFormatting>
  <dataValidations disablePrompts="1" count="1">
    <dataValidation type="whole" errorStyle="information" allowBlank="1" showInputMessage="1" showErrorMessage="1" error="ganze Zahl eingeben" promptTitle="Eingabe" prompt="ganze Zahl" sqref="J33" xr:uid="{00000000-0002-0000-0800-000000000000}">
      <formula1>0</formula1>
      <formula2>20</formula2>
    </dataValidation>
  </dataValidations>
  <hyperlinks>
    <hyperlink ref="C75" location="'Anlage 1'!A1" display="Anlage 1" xr:uid="{00000000-0004-0000-0800-000000000000}"/>
    <hyperlink ref="C75:I75" location="Gesamtkalkulation!A1" display="gehe weiter zu B_Gesamtkalkulation" xr:uid="{00000000-0004-0000-0800-000001000000}"/>
  </hyperlinks>
  <pageMargins left="0.70866141732283472" right="0.70866141732283472" top="0.78740157480314965" bottom="0.78740157480314965" header="0.31496062992125984" footer="0.31496062992125984"/>
  <pageSetup paperSize="9" scale="82" orientation="portrait"/>
  <headerFooter>
    <oddHeader>&amp;C&amp;9Seite 5</oddHeader>
    <oddFooter>&amp;L&amp;8Version: 21.11.2024&amp;C&amp;8Verhandlungsunterlagen TP/KZP SGB XI&amp;R&amp;8PSK vom 07.11.2024</oddFooter>
  </headerFooter>
  <drawing r:id="rId1"/>
  <extLst>
    <ext xmlns:x14="http://schemas.microsoft.com/office/spreadsheetml/2009/9/main" uri="{78C0D931-6437-407d-A8EE-F0AAD7539E65}">
      <x14:conditionalFormattings>
        <x14:conditionalFormatting xmlns:xm="http://schemas.microsoft.com/office/excel/2006/main">
          <x14:cfRule type="expression" priority="47" id="{D1576BFC-19BC-45B4-A41B-DB22C8BC62F1}">
            <xm:f>'Allgemeine Angaben'!$E$7&lt;&gt;"WPH"</xm:f>
            <x14:dxf>
              <font>
                <color theme="0"/>
              </font>
              <fill>
                <patternFill>
                  <fgColor theme="0"/>
                  <bgColor theme="0"/>
                </patternFill>
              </fill>
              <border>
                <left/>
                <right/>
                <top/>
                <bottom/>
                <vertical/>
                <horizontal/>
              </border>
            </x14:dxf>
          </x14:cfRule>
          <xm:sqref>B62:K63</xm:sqref>
        </x14:conditionalFormatting>
        <x14:conditionalFormatting xmlns:xm="http://schemas.microsoft.com/office/excel/2006/main">
          <x14:cfRule type="expression" priority="45" id="{D4143F09-EF3B-4E7C-B9D1-ABBB019B4922}">
            <xm:f>'Allgemeine Angaben'!$E$7&lt;&gt;"wph"</xm:f>
            <x14:dxf>
              <font>
                <color theme="0"/>
              </font>
              <fill>
                <patternFill>
                  <fgColor theme="0"/>
                  <bgColor theme="0"/>
                </patternFill>
              </fill>
              <border>
                <left/>
                <right/>
                <top/>
                <bottom/>
                <vertical/>
                <horizontal/>
              </border>
            </x14:dxf>
          </x14:cfRule>
          <xm:sqref>B35:L36</xm:sqref>
        </x14:conditionalFormatting>
        <x14:conditionalFormatting xmlns:xm="http://schemas.microsoft.com/office/excel/2006/main">
          <x14:cfRule type="expression" priority="4" id="{77D79604-4393-4515-AE8E-96D7A3DB719E}">
            <xm:f>'Allgemeine Angaben'!$D$7&lt;&gt;"vst"</xm:f>
            <x14:dxf>
              <font>
                <color theme="0"/>
              </font>
              <fill>
                <patternFill>
                  <bgColor theme="0"/>
                </patternFill>
              </fill>
              <border>
                <left/>
                <right/>
                <top/>
                <bottom/>
                <vertical/>
                <horizontal/>
              </border>
            </x14:dxf>
          </x14:cfRule>
          <xm:sqref>B40:L40</xm:sqref>
        </x14:conditionalFormatting>
        <x14:conditionalFormatting xmlns:xm="http://schemas.microsoft.com/office/excel/2006/main">
          <x14:cfRule type="expression" priority="46" id="{06A77576-ACD4-49F5-B813-9ADF7B43ABC7}">
            <xm:f>'Allgemeine Angaben'!$D$7&lt;&gt;"tst"</xm:f>
            <x14:dxf>
              <font>
                <color theme="0"/>
              </font>
              <fill>
                <patternFill>
                  <bgColor theme="0"/>
                </patternFill>
              </fill>
              <border>
                <left/>
                <right/>
                <top/>
                <bottom/>
                <vertical/>
                <horizontal/>
              </border>
            </x14:dxf>
          </x14:cfRule>
          <xm:sqref>D52:K53</xm:sqref>
        </x14:conditionalFormatting>
        <x14:conditionalFormatting xmlns:xm="http://schemas.microsoft.com/office/excel/2006/main">
          <x14:cfRule type="expression" priority="3" id="{53B9BFC3-F6F1-4948-8593-3EF36A6C9416}">
            <xm:f>KAT!$A$34="nein"</xm:f>
            <x14:dxf>
              <fill>
                <patternFill>
                  <bgColor theme="0"/>
                </patternFill>
              </fill>
            </x14:dxf>
          </x14:cfRule>
          <xm:sqref>F20</xm:sqref>
        </x14:conditionalFormatting>
        <x14:conditionalFormatting xmlns:xm="http://schemas.microsoft.com/office/excel/2006/main">
          <x14:cfRule type="expression" priority="25" id="{7E1DC2A4-9C94-4A4E-B581-176AB2975868}">
            <xm:f>'Allgemeine Angaben'!$D$7&lt;&gt;"vst"</xm:f>
            <x14:dxf>
              <font>
                <color theme="0"/>
              </font>
              <fill>
                <patternFill>
                  <bgColor theme="0"/>
                </patternFill>
              </fill>
              <border>
                <left/>
                <right/>
                <top/>
                <bottom/>
                <vertical/>
                <horizontal/>
              </border>
            </x14:dxf>
          </x14:cfRule>
          <xm:sqref>K40:L40</xm:sqref>
        </x14:conditionalFormatting>
        <x14:conditionalFormatting xmlns:xm="http://schemas.microsoft.com/office/excel/2006/main">
          <x14:cfRule type="expression" priority="24" id="{F4F8F9D8-D8B1-4692-BA18-63D81460D5EE}">
            <xm:f>Wennoder('Allgemeine Angaben'!$L$48&lt;0,'Allgemeine Angaben'!$L$48=0)</xm:f>
            <x14:dxf>
              <font>
                <color theme="0"/>
              </font>
              <fill>
                <patternFill patternType="none">
                  <bgColor auto="1"/>
                </patternFill>
              </fill>
              <border>
                <vertical/>
                <horizontal/>
              </border>
            </x14:dxf>
          </x14:cfRule>
          <xm:sqref>L37:L39</xm:sqref>
        </x14:conditionalFormatting>
        <x14:conditionalFormatting xmlns:xm="http://schemas.microsoft.com/office/excel/2006/main">
          <x14:cfRule type="expression" priority="22" id="{2EAF1F42-622A-494A-B484-4E694BB06734}">
            <xm:f>Wennoder('Allgemeine Angaben'!$L$48&lt;0,'Allgemeine Angaben'!$L$48=0)</xm:f>
            <x14:dxf>
              <font>
                <color theme="0"/>
              </font>
              <fill>
                <patternFill>
                  <fgColor theme="0"/>
                </patternFill>
              </fill>
              <border>
                <vertical/>
                <horizontal/>
              </border>
            </x14:dxf>
          </x14:cfRule>
          <x14:cfRule type="expression" priority="23" id="{FA7B976C-C227-471F-B1DF-8E3E7F3DBADF}">
            <xm:f>Wennoder('Allgemeine Angaben'!$L$48&lt;0,'Allgemeine Angaben'!$L$48=0)</xm:f>
            <x14:dxf>
              <font>
                <color theme="0"/>
              </font>
              <fill>
                <patternFill patternType="none">
                  <fgColor indexed="64"/>
                  <bgColor auto="1"/>
                </patternFill>
              </fill>
              <border>
                <vertical/>
                <horizontal/>
              </border>
            </x14:dxf>
          </x14:cfRule>
          <xm:sqref>L40</xm:sqref>
        </x14:conditionalFormatting>
        <x14:conditionalFormatting xmlns:xm="http://schemas.microsoft.com/office/excel/2006/main">
          <x14:cfRule type="expression" priority="14" id="{0B6168FF-471D-4DF3-9A46-C064842344E8}">
            <xm:f>'Allgemeine Angaben'!$L$48&gt;0</xm:f>
            <x14:dxf>
              <font>
                <color auto="1"/>
              </font>
              <fill>
                <patternFill>
                  <bgColor theme="0" tint="-4.9989318521683403E-2"/>
                </patternFill>
              </fill>
              <border>
                <bottom style="thin">
                  <color auto="1"/>
                </bottom>
                <vertical/>
                <horizontal/>
              </border>
            </x14:dxf>
          </x14:cfRule>
          <xm:sqref>L42</xm:sqref>
        </x14:conditionalFormatting>
        <x14:conditionalFormatting xmlns:xm="http://schemas.microsoft.com/office/excel/2006/main">
          <x14:cfRule type="expression" priority="13" id="{B11BCA33-0111-4752-9C52-7643B714BA5C}">
            <xm:f>'Allgemeine Angaben'!$L$48&gt;0</xm:f>
            <x14:dxf>
              <font>
                <color auto="1"/>
              </font>
              <fill>
                <patternFill>
                  <bgColor theme="0" tint="-4.9989318521683403E-2"/>
                </patternFill>
              </fill>
              <border>
                <bottom style="thin">
                  <color auto="1"/>
                </bottom>
                <vertical/>
                <horizontal/>
              </border>
            </x14:dxf>
          </x14:cfRule>
          <xm:sqref>L44</xm:sqref>
        </x14:conditionalFormatting>
        <x14:conditionalFormatting xmlns:xm="http://schemas.microsoft.com/office/excel/2006/main">
          <x14:cfRule type="expression" priority="12" id="{125241C6-4E23-4B1E-87E4-DB6E4B9E8C75}">
            <xm:f>'Allgemeine Angaben'!$L$48&gt;0</xm:f>
            <x14:dxf>
              <font>
                <color auto="1"/>
              </font>
              <fill>
                <patternFill>
                  <bgColor theme="0" tint="-4.9989318521683403E-2"/>
                </patternFill>
              </fill>
              <border>
                <bottom style="thin">
                  <color auto="1"/>
                </bottom>
                <vertical/>
                <horizontal/>
              </border>
            </x14:dxf>
          </x14:cfRule>
          <xm:sqref>L46</xm:sqref>
        </x14:conditionalFormatting>
        <x14:conditionalFormatting xmlns:xm="http://schemas.microsoft.com/office/excel/2006/main">
          <x14:cfRule type="expression" priority="11" id="{640EA40C-D139-43B2-84CA-9C2275B0FDBD}">
            <xm:f>'Allgemeine Angaben'!$L$48&gt;0</xm:f>
            <x14:dxf>
              <font>
                <color auto="1"/>
              </font>
              <fill>
                <patternFill>
                  <bgColor theme="0" tint="-4.9989318521683403E-2"/>
                </patternFill>
              </fill>
              <border>
                <bottom style="thin">
                  <color auto="1"/>
                </bottom>
                <vertical/>
                <horizontal/>
              </border>
            </x14:dxf>
          </x14:cfRule>
          <xm:sqref>L48</xm:sqref>
        </x14:conditionalFormatting>
        <x14:conditionalFormatting xmlns:xm="http://schemas.microsoft.com/office/excel/2006/main">
          <x14:cfRule type="expression" priority="10" id="{0DBC7037-D8EC-42EC-884B-873708345477}">
            <xm:f>'Allgemeine Angaben'!$L$48&gt;0</xm:f>
            <x14:dxf>
              <font>
                <color auto="1"/>
              </font>
              <fill>
                <patternFill>
                  <bgColor theme="0" tint="-4.9989318521683403E-2"/>
                </patternFill>
              </fill>
              <border>
                <bottom style="thin">
                  <color auto="1"/>
                </bottom>
                <vertical/>
                <horizontal/>
              </border>
            </x14:dxf>
          </x14:cfRule>
          <xm:sqref>L50</xm:sqref>
        </x14:conditionalFormatting>
        <x14:conditionalFormatting xmlns:xm="http://schemas.microsoft.com/office/excel/2006/main">
          <x14:cfRule type="expression" priority="29" id="{33E1C49D-4FE6-44E0-91C4-F5707626138A}">
            <xm:f>'Allgemeine Angaben'!$D$7&lt;&gt;"tst"</xm:f>
            <x14:dxf>
              <font>
                <color theme="0"/>
              </font>
              <fill>
                <patternFill>
                  <bgColor theme="0"/>
                </patternFill>
              </fill>
              <border>
                <left/>
                <right/>
                <top/>
                <bottom/>
                <vertical/>
                <horizontal/>
              </border>
            </x14:dxf>
          </x14:cfRule>
          <xm:sqref>L53</xm:sqref>
        </x14:conditionalFormatting>
        <x14:conditionalFormatting xmlns:xm="http://schemas.microsoft.com/office/excel/2006/main">
          <x14:cfRule type="expression" priority="8" id="{11892ED4-AFBD-4190-A03A-FBCA6A66624D}">
            <xm:f>'Allgemeine Angaben'!$L$48&gt;0</xm:f>
            <x14:dxf>
              <font>
                <color auto="1"/>
              </font>
              <fill>
                <patternFill>
                  <bgColor theme="0" tint="-4.9989318521683403E-2"/>
                </patternFill>
              </fill>
              <border>
                <bottom style="thin">
                  <color auto="1"/>
                </bottom>
                <vertical/>
                <horizontal/>
              </border>
            </x14:dxf>
          </x14:cfRule>
          <xm:sqref>L55</xm:sqref>
        </x14:conditionalFormatting>
        <x14:conditionalFormatting xmlns:xm="http://schemas.microsoft.com/office/excel/2006/main">
          <x14:cfRule type="expression" priority="7" id="{1CBD52C3-28FB-42E1-A7C0-1232D0FCE734}">
            <xm:f>'Allgemeine Angaben'!$L$48&gt;0</xm:f>
            <x14:dxf>
              <font>
                <color auto="1"/>
              </font>
              <fill>
                <patternFill>
                  <bgColor theme="0" tint="-4.9989318521683403E-2"/>
                </patternFill>
              </fill>
              <border>
                <bottom style="thin">
                  <color auto="1"/>
                </bottom>
                <vertical/>
                <horizontal/>
              </border>
            </x14:dxf>
          </x14:cfRule>
          <xm:sqref>L57</xm:sqref>
        </x14:conditionalFormatting>
        <x14:conditionalFormatting xmlns:xm="http://schemas.microsoft.com/office/excel/2006/main">
          <x14:cfRule type="expression" priority="6" id="{EEFD4FDC-DCAB-4479-8308-54AAE076C21A}">
            <xm:f>'Allgemeine Angaben'!$L$48&gt;0</xm:f>
            <x14:dxf>
              <font>
                <color auto="1"/>
              </font>
              <fill>
                <patternFill>
                  <bgColor theme="0" tint="-4.9989318521683403E-2"/>
                </patternFill>
              </fill>
              <border>
                <bottom style="thin">
                  <color auto="1"/>
                </bottom>
                <vertical/>
                <horizontal/>
              </border>
            </x14:dxf>
          </x14:cfRule>
          <xm:sqref>L59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
    <pageSetUpPr fitToPage="1"/>
  </sheetPr>
  <dimension ref="A1:Y57"/>
  <sheetViews>
    <sheetView showGridLines="0" zoomScaleNormal="100" workbookViewId="0">
      <selection activeCell="H56" sqref="H56:N56"/>
    </sheetView>
  </sheetViews>
  <sheetFormatPr baseColWidth="10" defaultRowHeight="14.25"/>
  <cols>
    <col min="1" max="1" width="2.125" style="3" customWidth="1"/>
    <col min="2" max="2" width="5.625" style="3" customWidth="1"/>
    <col min="3" max="3" width="34.25" style="3" customWidth="1"/>
    <col min="4" max="4" width="16.625" style="3" customWidth="1"/>
    <col min="5" max="6" width="11.625" style="3" hidden="1" customWidth="1"/>
    <col min="7" max="7" width="12.625" style="3" hidden="1" customWidth="1"/>
    <col min="8" max="8" width="13.625" style="3" customWidth="1"/>
    <col min="9" max="9" width="12.625" style="11" hidden="1" customWidth="1"/>
    <col min="10" max="10" width="13.625" style="3" customWidth="1"/>
    <col min="11" max="11" width="12.625" style="11" hidden="1" customWidth="1"/>
    <col min="12" max="12" width="13.625" style="3" customWidth="1"/>
    <col min="13" max="13" width="12.625" style="3" hidden="1" customWidth="1"/>
    <col min="14" max="14" width="13.625" style="3" customWidth="1"/>
    <col min="15" max="15" width="12.625" style="3" hidden="1" customWidth="1"/>
    <col min="16" max="16" width="13.625" style="3" customWidth="1"/>
    <col min="17" max="17" width="12.625" style="11" hidden="1" customWidth="1"/>
    <col min="18" max="18" width="13.625" style="3" customWidth="1"/>
    <col min="19" max="19" width="12.625" style="3" hidden="1" customWidth="1"/>
    <col min="20" max="20" width="13.625" style="3" customWidth="1"/>
    <col min="21" max="21" width="12.625" style="3" hidden="1" customWidth="1"/>
    <col min="22" max="22" width="13.625" style="3" customWidth="1"/>
    <col min="23" max="23" width="2.125" style="3" customWidth="1"/>
    <col min="24" max="16384" width="11" style="3"/>
  </cols>
  <sheetData>
    <row r="1" spans="1:25" ht="15" customHeight="1">
      <c r="A1" s="1356" t="str">
        <f>'Allgemeine Angaben'!A1:N1</f>
        <v>Aufforderung zum Abschluss einer Pflegesatzvereinbarung gemäß §§ 84, 85 SGB XI</v>
      </c>
      <c r="B1" s="1357"/>
      <c r="C1" s="1357"/>
      <c r="D1" s="1357"/>
      <c r="E1" s="1357"/>
      <c r="F1" s="1357"/>
      <c r="G1" s="1357"/>
      <c r="H1" s="1357"/>
      <c r="I1" s="1499"/>
      <c r="J1" s="1499"/>
      <c r="K1" s="1499"/>
      <c r="L1" s="1499"/>
      <c r="M1" s="1499"/>
      <c r="N1" s="1499"/>
      <c r="O1" s="1499"/>
      <c r="P1" s="1499"/>
      <c r="Q1" s="1499"/>
      <c r="R1" s="1499"/>
      <c r="S1" s="1499"/>
      <c r="T1" s="1499"/>
      <c r="U1" s="1488"/>
      <c r="V1" s="1488"/>
      <c r="W1" s="1489"/>
      <c r="X1" s="804"/>
      <c r="Y1" s="58"/>
    </row>
    <row r="2" spans="1:25" ht="15" customHeight="1">
      <c r="A2" s="1359" t="s">
        <v>156</v>
      </c>
      <c r="B2" s="1360"/>
      <c r="C2" s="1360"/>
      <c r="D2" s="1360"/>
      <c r="E2" s="1360"/>
      <c r="F2" s="1360"/>
      <c r="G2" s="1360"/>
      <c r="H2" s="1360"/>
      <c r="I2" s="1501"/>
      <c r="J2" s="1501"/>
      <c r="K2" s="1501"/>
      <c r="L2" s="1501"/>
      <c r="M2" s="1501"/>
      <c r="N2" s="1501"/>
      <c r="O2" s="1501"/>
      <c r="P2" s="1501"/>
      <c r="Q2" s="1501"/>
      <c r="R2" s="1501"/>
      <c r="S2" s="1501"/>
      <c r="T2" s="1501"/>
      <c r="U2" s="1490"/>
      <c r="V2" s="1490"/>
      <c r="W2" s="1491"/>
      <c r="X2" s="823"/>
    </row>
    <row r="3" spans="1:25" ht="15" customHeight="1">
      <c r="A3" s="1377" t="str">
        <f>'Allgemeine Angaben'!A3:N3</f>
        <v/>
      </c>
      <c r="B3" s="1378"/>
      <c r="C3" s="1378"/>
      <c r="D3" s="1378"/>
      <c r="E3" s="1378"/>
      <c r="F3" s="1378"/>
      <c r="G3" s="1378"/>
      <c r="H3" s="1378"/>
      <c r="I3" s="1501"/>
      <c r="J3" s="1501"/>
      <c r="K3" s="1501"/>
      <c r="L3" s="1501"/>
      <c r="M3" s="1501"/>
      <c r="N3" s="1501"/>
      <c r="O3" s="1501"/>
      <c r="P3" s="1501"/>
      <c r="Q3" s="1501"/>
      <c r="R3" s="1501"/>
      <c r="S3" s="1501"/>
      <c r="T3" s="1501"/>
      <c r="U3" s="1490"/>
      <c r="V3" s="1490"/>
      <c r="W3" s="1491"/>
      <c r="X3" s="225"/>
    </row>
    <row r="4" spans="1:25" ht="15" customHeight="1">
      <c r="A4" s="1377" t="str">
        <f>'Allgemeine Angaben'!A4:N4</f>
        <v/>
      </c>
      <c r="B4" s="1378"/>
      <c r="C4" s="1378"/>
      <c r="D4" s="1378"/>
      <c r="E4" s="1378"/>
      <c r="F4" s="1378"/>
      <c r="G4" s="1378"/>
      <c r="H4" s="1378"/>
      <c r="I4" s="1501"/>
      <c r="J4" s="1501"/>
      <c r="K4" s="1501"/>
      <c r="L4" s="1501"/>
      <c r="M4" s="1501"/>
      <c r="N4" s="1501"/>
      <c r="O4" s="1501"/>
      <c r="P4" s="1501"/>
      <c r="Q4" s="1501"/>
      <c r="R4" s="1501"/>
      <c r="S4" s="1501"/>
      <c r="T4" s="1501"/>
      <c r="U4" s="1490"/>
      <c r="V4" s="1490"/>
      <c r="W4" s="1491"/>
      <c r="X4" s="125"/>
    </row>
    <row r="5" spans="1:25" ht="14.25" customHeight="1">
      <c r="A5" s="2"/>
      <c r="B5" s="226"/>
      <c r="C5" s="193"/>
      <c r="D5" s="193"/>
      <c r="E5" s="227" t="s">
        <v>157</v>
      </c>
      <c r="F5" s="227"/>
      <c r="G5" s="234"/>
      <c r="I5" s="229"/>
      <c r="J5" s="78" t="s">
        <v>193</v>
      </c>
      <c r="K5" s="229"/>
      <c r="L5" s="78" t="s">
        <v>194</v>
      </c>
      <c r="M5" s="234"/>
      <c r="N5" s="78" t="s">
        <v>222</v>
      </c>
      <c r="O5" s="234"/>
      <c r="P5" s="78" t="s">
        <v>160</v>
      </c>
      <c r="Q5" s="229"/>
      <c r="S5" s="234"/>
      <c r="U5" s="234"/>
      <c r="W5" s="4"/>
      <c r="X5" s="225"/>
    </row>
    <row r="6" spans="1:25">
      <c r="A6" s="2"/>
      <c r="C6" s="128" t="s">
        <v>158</v>
      </c>
      <c r="D6" s="228" t="str">
        <f>IF('Allgemeine Angaben'!L47&gt;0,'Allgemeine Angaben'!L47,"")</f>
        <v/>
      </c>
      <c r="E6" s="229" t="s">
        <v>159</v>
      </c>
      <c r="F6" s="229"/>
      <c r="G6" s="234"/>
      <c r="I6" s="229"/>
      <c r="J6" s="230" t="str">
        <f>IF(Belegung!D8&gt;0,Belegung!D8,"")</f>
        <v/>
      </c>
      <c r="K6" s="229"/>
      <c r="L6" s="318" t="str">
        <f>IF(Belegung!G6&gt;0,Belegung!G6,"")</f>
        <v/>
      </c>
      <c r="M6" s="281"/>
      <c r="N6" s="231">
        <f>divisor</f>
        <v>0</v>
      </c>
      <c r="O6" s="234"/>
      <c r="P6" s="231" t="str">
        <f>IFERROR(ROUND(J6/12,2),"")</f>
        <v/>
      </c>
      <c r="Q6" s="335"/>
      <c r="S6" s="234"/>
      <c r="T6" s="61"/>
      <c r="U6" s="347"/>
      <c r="V6" s="61"/>
      <c r="W6" s="4"/>
    </row>
    <row r="7" spans="1:25" ht="3" customHeight="1">
      <c r="A7" s="2"/>
      <c r="C7" s="128"/>
      <c r="D7" s="128"/>
      <c r="E7" s="233"/>
      <c r="F7" s="233"/>
      <c r="G7" s="234"/>
      <c r="I7" s="329"/>
      <c r="J7" s="128"/>
      <c r="K7" s="329"/>
      <c r="L7" s="128"/>
      <c r="M7" s="329"/>
      <c r="N7" s="128"/>
      <c r="O7" s="234"/>
      <c r="Q7" s="329"/>
      <c r="R7" s="128"/>
      <c r="S7" s="329"/>
      <c r="T7" s="61"/>
      <c r="U7" s="347"/>
      <c r="V7" s="61"/>
      <c r="W7" s="4"/>
    </row>
    <row r="8" spans="1:25">
      <c r="A8" s="2"/>
      <c r="C8" s="61"/>
      <c r="D8" s="128"/>
      <c r="E8" s="229" t="s">
        <v>161</v>
      </c>
      <c r="F8" s="229"/>
      <c r="G8" s="234"/>
      <c r="I8" s="329"/>
      <c r="J8" s="84" t="s">
        <v>223</v>
      </c>
      <c r="K8" s="229"/>
      <c r="L8" s="318" t="str">
        <f>IF('Allgemeine Angaben'!D7="vst",100,IF('Allgemeine Angaben'!D7="kzp",100,L6))</f>
        <v/>
      </c>
      <c r="M8" s="233"/>
      <c r="N8" s="231" t="str">
        <f>IFERROR(Belegung!E32*J6*L8/100,"")</f>
        <v/>
      </c>
      <c r="O8" s="234"/>
      <c r="Q8" s="335"/>
      <c r="S8" s="234"/>
      <c r="T8" s="61"/>
      <c r="U8" s="347"/>
      <c r="V8" s="61"/>
      <c r="W8" s="4"/>
      <c r="X8" s="10"/>
    </row>
    <row r="9" spans="1:25" ht="9.9499999999999993" customHeight="1">
      <c r="A9" s="2"/>
      <c r="C9" s="61"/>
      <c r="D9" s="128"/>
      <c r="E9" s="234"/>
      <c r="F9" s="234"/>
      <c r="G9" s="234"/>
      <c r="I9" s="329"/>
      <c r="J9" s="128"/>
      <c r="K9" s="128"/>
      <c r="L9" s="128"/>
      <c r="M9" s="281"/>
      <c r="N9" s="17"/>
      <c r="O9" s="234"/>
      <c r="Q9" s="281"/>
      <c r="R9" s="17"/>
      <c r="S9" s="234"/>
      <c r="T9" s="61"/>
      <c r="U9" s="347"/>
      <c r="V9" s="61"/>
      <c r="W9" s="4"/>
    </row>
    <row r="10" spans="1:25">
      <c r="A10" s="2"/>
      <c r="C10" s="84"/>
      <c r="D10" s="11" t="s">
        <v>37</v>
      </c>
      <c r="E10" s="235">
        <f>SUM(H10:P10)</f>
        <v>0</v>
      </c>
      <c r="F10" s="235" t="s">
        <v>364</v>
      </c>
      <c r="G10" s="234"/>
      <c r="H10" s="319">
        <f>Belegung!E26</f>
        <v>0</v>
      </c>
      <c r="I10" s="229"/>
      <c r="J10" s="236">
        <f>Belegung!E27</f>
        <v>0</v>
      </c>
      <c r="K10" s="229"/>
      <c r="L10" s="236">
        <f>Belegung!E28</f>
        <v>0</v>
      </c>
      <c r="M10" s="234"/>
      <c r="N10" s="236">
        <f>Belegung!E29</f>
        <v>0</v>
      </c>
      <c r="O10" s="234"/>
      <c r="P10" s="236">
        <f>Belegung!E30</f>
        <v>0</v>
      </c>
      <c r="Q10" s="229"/>
      <c r="S10" s="234"/>
      <c r="T10" s="61"/>
      <c r="U10" s="347"/>
      <c r="V10" s="61"/>
      <c r="W10" s="4"/>
    </row>
    <row r="11" spans="1:25">
      <c r="A11" s="2"/>
      <c r="C11" s="84"/>
      <c r="D11" s="11" t="s">
        <v>111</v>
      </c>
      <c r="E11" s="317">
        <f>SUM(H11:P11)</f>
        <v>0</v>
      </c>
      <c r="F11" s="237" t="e">
        <f>J11+L11+N11+P11</f>
        <v>#VALUE!</v>
      </c>
      <c r="G11" s="234"/>
      <c r="H11" s="238" t="str">
        <f>IFERROR(H10*$J$6*$L$6/100,"")</f>
        <v/>
      </c>
      <c r="I11" s="229"/>
      <c r="J11" s="238" t="str">
        <f>IFERROR(J10*$J$6*$L$6/100,"")</f>
        <v/>
      </c>
      <c r="K11" s="229"/>
      <c r="L11" s="238" t="str">
        <f>IFERROR(L10*$J$6*$L$6/100,"")</f>
        <v/>
      </c>
      <c r="M11" s="234"/>
      <c r="N11" s="238" t="str">
        <f>IFERROR(N10*$J$6*$L$6/100,"")</f>
        <v/>
      </c>
      <c r="O11" s="234"/>
      <c r="P11" s="238" t="str">
        <f>IFERROR(P10*$J$6*$L$6/100,"")</f>
        <v/>
      </c>
      <c r="Q11" s="229"/>
      <c r="S11" s="234"/>
      <c r="U11" s="234"/>
      <c r="W11" s="4"/>
    </row>
    <row r="12" spans="1:25">
      <c r="A12" s="2"/>
      <c r="C12" s="84"/>
      <c r="D12" s="17" t="s">
        <v>162</v>
      </c>
      <c r="E12" s="237"/>
      <c r="F12" s="237"/>
      <c r="G12" s="234"/>
      <c r="H12" s="239"/>
      <c r="I12" s="229"/>
      <c r="J12" s="240">
        <v>805</v>
      </c>
      <c r="K12" s="229"/>
      <c r="L12" s="240">
        <v>1319</v>
      </c>
      <c r="M12" s="234"/>
      <c r="N12" s="240">
        <v>1855</v>
      </c>
      <c r="O12" s="234"/>
      <c r="P12" s="240">
        <v>2096</v>
      </c>
      <c r="Q12" s="229"/>
      <c r="S12" s="234"/>
      <c r="U12" s="234"/>
      <c r="W12" s="4"/>
    </row>
    <row r="13" spans="1:25" ht="9.9499999999999993" customHeight="1">
      <c r="A13" s="2"/>
      <c r="E13" s="234"/>
      <c r="F13" s="418"/>
      <c r="G13" s="321"/>
      <c r="I13" s="321"/>
      <c r="K13" s="321"/>
      <c r="M13" s="321"/>
      <c r="O13" s="234"/>
      <c r="Q13" s="229"/>
      <c r="S13" s="234"/>
      <c r="U13" s="234"/>
      <c r="W13" s="4"/>
    </row>
    <row r="14" spans="1:25" ht="39.950000000000003" customHeight="1">
      <c r="A14" s="2"/>
      <c r="C14" s="10"/>
      <c r="D14" s="232"/>
      <c r="E14" s="241"/>
      <c r="F14" s="241"/>
      <c r="G14" s="311" t="s">
        <v>163</v>
      </c>
      <c r="H14" s="354" t="s">
        <v>228</v>
      </c>
      <c r="I14" s="311" t="s">
        <v>164</v>
      </c>
      <c r="J14" s="346" t="s">
        <v>229</v>
      </c>
      <c r="K14" s="311" t="s">
        <v>165</v>
      </c>
      <c r="L14" s="346" t="s">
        <v>230</v>
      </c>
      <c r="M14" s="311" t="s">
        <v>166</v>
      </c>
      <c r="N14" s="346" t="s">
        <v>231</v>
      </c>
      <c r="O14" s="311" t="s">
        <v>167</v>
      </c>
      <c r="P14" s="346" t="s">
        <v>232</v>
      </c>
      <c r="Q14" s="311" t="s">
        <v>168</v>
      </c>
      <c r="R14" s="346" t="s">
        <v>233</v>
      </c>
      <c r="S14" s="311" t="s">
        <v>169</v>
      </c>
      <c r="T14" s="354" t="s">
        <v>234</v>
      </c>
      <c r="U14" s="311" t="s">
        <v>224</v>
      </c>
      <c r="V14" s="354" t="s">
        <v>235</v>
      </c>
      <c r="W14" s="4"/>
    </row>
    <row r="15" spans="1:25">
      <c r="A15" s="2"/>
      <c r="B15" s="242"/>
      <c r="C15" s="242"/>
      <c r="D15" s="580" t="s">
        <v>170</v>
      </c>
      <c r="E15" s="244" t="s">
        <v>171</v>
      </c>
      <c r="F15" s="244" t="s">
        <v>221</v>
      </c>
      <c r="G15" s="245" t="s">
        <v>172</v>
      </c>
      <c r="H15" s="1213" t="s">
        <v>633</v>
      </c>
      <c r="I15" s="243" t="s">
        <v>172</v>
      </c>
      <c r="J15" s="1214" t="s">
        <v>633</v>
      </c>
      <c r="K15" s="245" t="s">
        <v>172</v>
      </c>
      <c r="L15" s="1213" t="s">
        <v>633</v>
      </c>
      <c r="M15" s="245" t="s">
        <v>172</v>
      </c>
      <c r="N15" s="1213" t="s">
        <v>633</v>
      </c>
      <c r="O15" s="245" t="s">
        <v>172</v>
      </c>
      <c r="P15" s="1213" t="s">
        <v>633</v>
      </c>
      <c r="Q15" s="245" t="s">
        <v>172</v>
      </c>
      <c r="R15" s="1213" t="s">
        <v>633</v>
      </c>
      <c r="S15" s="245" t="s">
        <v>172</v>
      </c>
      <c r="T15" s="1213" t="s">
        <v>633</v>
      </c>
      <c r="U15" s="245" t="s">
        <v>172</v>
      </c>
      <c r="V15" s="1213" t="s">
        <v>633</v>
      </c>
      <c r="W15" s="4"/>
    </row>
    <row r="16" spans="1:25">
      <c r="A16" s="2"/>
      <c r="B16" s="246" t="s">
        <v>173</v>
      </c>
      <c r="C16" s="246" t="s">
        <v>391</v>
      </c>
      <c r="D16" s="581" t="e">
        <f>SUM(D17:D18,D20:D24)</f>
        <v>#VALUE!</v>
      </c>
      <c r="E16" s="247" t="e">
        <f>G16+I16+K16+M16+O16+Q16</f>
        <v>#VALUE!</v>
      </c>
      <c r="F16" s="247"/>
      <c r="G16" s="322" t="e">
        <f t="shared" ref="G16:P16" si="0">SUM(G17:G24)</f>
        <v>#VALUE!</v>
      </c>
      <c r="H16" s="248" t="e">
        <f t="shared" si="0"/>
        <v>#VALUE!</v>
      </c>
      <c r="I16" s="330" t="e">
        <f t="shared" si="0"/>
        <v>#VALUE!</v>
      </c>
      <c r="J16" s="248" t="e">
        <f t="shared" si="0"/>
        <v>#VALUE!</v>
      </c>
      <c r="K16" s="333" t="e">
        <f t="shared" si="0"/>
        <v>#VALUE!</v>
      </c>
      <c r="L16" s="249" t="e">
        <f t="shared" si="0"/>
        <v>#VALUE!</v>
      </c>
      <c r="M16" s="333" t="e">
        <f t="shared" si="0"/>
        <v>#VALUE!</v>
      </c>
      <c r="N16" s="249" t="e">
        <f t="shared" si="0"/>
        <v>#VALUE!</v>
      </c>
      <c r="O16" s="333" t="e">
        <f t="shared" si="0"/>
        <v>#VALUE!</v>
      </c>
      <c r="P16" s="249" t="e">
        <f t="shared" si="0"/>
        <v>#VALUE!</v>
      </c>
      <c r="Q16" s="333" t="e">
        <f>SUM(Q20:Q24)</f>
        <v>#VALUE!</v>
      </c>
      <c r="R16" s="249" t="e">
        <f>SUM(R20:R24)</f>
        <v>#VALUE!</v>
      </c>
      <c r="S16" s="273"/>
      <c r="T16" s="250"/>
      <c r="U16" s="273"/>
      <c r="V16" s="250"/>
      <c r="W16" s="4"/>
    </row>
    <row r="17" spans="1:24">
      <c r="A17" s="2"/>
      <c r="B17" s="209" t="s">
        <v>174</v>
      </c>
      <c r="C17" s="251" t="str">
        <f>Personalaufwendungen!C10</f>
        <v>Pflege inklusive QM</v>
      </c>
      <c r="D17" s="582" t="e">
        <f>Personalaufwendungen!I17*Personalaufwendungen!H17*(1+pnk+Personalaufwendungen!I57)*(1+risiko)</f>
        <v>#VALUE!</v>
      </c>
      <c r="E17" s="247" t="e">
        <f>G17+I17+K17+M17+O17</f>
        <v>#VALUE!</v>
      </c>
      <c r="F17" s="247">
        <v>1</v>
      </c>
      <c r="G17" s="323" t="e">
        <f>$D17*$F17/Personalaufwendungen!$H$17*Belegung!E26/Forderung!J9</f>
        <v>#VALUE!</v>
      </c>
      <c r="H17" s="252" t="e">
        <f>G17/$H$11</f>
        <v>#VALUE!</v>
      </c>
      <c r="I17" s="260" t="e">
        <f>$D17*$F17/Personalaufwendungen!$H$17*Belegung!E27/Forderung!J11</f>
        <v>#VALUE!</v>
      </c>
      <c r="J17" s="252" t="e">
        <f t="shared" ref="J17:J24" si="1">I17/$J$11</f>
        <v>#VALUE!</v>
      </c>
      <c r="K17" s="260" t="e">
        <f>$D17*$F17/Personalaufwendungen!$H$17*Belegung!E28/Forderung!J13</f>
        <v>#VALUE!</v>
      </c>
      <c r="L17" s="252" t="e">
        <f t="shared" ref="L17:L24" si="2">K17/$L$11</f>
        <v>#VALUE!</v>
      </c>
      <c r="M17" s="260" t="e">
        <f>$D17*$F17/Personalaufwendungen!$H$17*Belegung!E29/Forderung!J15</f>
        <v>#VALUE!</v>
      </c>
      <c r="N17" s="252" t="e">
        <f t="shared" ref="N17:N24" si="3">M17/$N$11</f>
        <v>#VALUE!</v>
      </c>
      <c r="O17" s="260" t="e">
        <f>$D17*$F17/Personalaufwendungen!$H$17*Belegung!E30/Forderung!J17</f>
        <v>#VALUE!</v>
      </c>
      <c r="P17" s="252" t="e">
        <f t="shared" ref="P17:P24" si="4">O17/$P$11</f>
        <v>#VALUE!</v>
      </c>
      <c r="Q17" s="336"/>
      <c r="R17" s="253"/>
      <c r="S17" s="273"/>
      <c r="T17" s="250"/>
      <c r="U17" s="273"/>
      <c r="V17" s="250"/>
      <c r="W17" s="4"/>
    </row>
    <row r="18" spans="1:24">
      <c r="A18" s="2"/>
      <c r="B18" s="209" t="s">
        <v>175</v>
      </c>
      <c r="C18" s="251" t="str">
        <f>Personalaufwendungen!C21</f>
        <v>Betreuung</v>
      </c>
      <c r="D18" s="582" t="e">
        <f>Personalaufwendungen!I26*Personalaufwendungen!H26*(1+pnk+Personalaufwendungen!I57)*(1+risiko)</f>
        <v>#VALUE!</v>
      </c>
      <c r="E18" s="247" t="e">
        <f>G18+I18+K18+M18+O18+Q18</f>
        <v>#VALUE!</v>
      </c>
      <c r="F18" s="247">
        <v>1</v>
      </c>
      <c r="G18" s="324" t="e">
        <f>D18*F18/$N$6*$H$11</f>
        <v>#VALUE!</v>
      </c>
      <c r="H18" s="357" t="e">
        <f>G18/$H$11</f>
        <v>#VALUE!</v>
      </c>
      <c r="I18" s="358" t="e">
        <f>D18*F18/$N$6*$J$11</f>
        <v>#VALUE!</v>
      </c>
      <c r="J18" s="357" t="e">
        <f t="shared" si="1"/>
        <v>#VALUE!</v>
      </c>
      <c r="K18" s="359" t="e">
        <f>D18*F18/$N$6*$L$11</f>
        <v>#VALUE!</v>
      </c>
      <c r="L18" s="357" t="e">
        <f t="shared" si="2"/>
        <v>#VALUE!</v>
      </c>
      <c r="M18" s="359" t="e">
        <f>D18*F18/$N$6*$N$11</f>
        <v>#VALUE!</v>
      </c>
      <c r="N18" s="357" t="e">
        <f t="shared" si="3"/>
        <v>#VALUE!</v>
      </c>
      <c r="O18" s="359" t="e">
        <f>D18*F18/$N$6*$P$11</f>
        <v>#VALUE!</v>
      </c>
      <c r="P18" s="357" t="e">
        <f t="shared" si="4"/>
        <v>#VALUE!</v>
      </c>
      <c r="Q18" s="360"/>
      <c r="R18" s="250"/>
      <c r="S18" s="273"/>
      <c r="T18" s="250"/>
      <c r="U18" s="273"/>
      <c r="V18" s="250"/>
      <c r="W18" s="4"/>
    </row>
    <row r="19" spans="1:24">
      <c r="A19" s="2"/>
      <c r="B19" s="209" t="s">
        <v>176</v>
      </c>
      <c r="C19" s="251" t="str">
        <f>Personalaufwendungen!C28</f>
        <v>Zusätzliche Betreuung und Aktivierung</v>
      </c>
      <c r="D19" s="582" t="e">
        <f>Personalaufwendungen!I29*Personalaufwendungen!H29*(1+pnk+Personalaufwendungen!I57)*(1+risiko)</f>
        <v>#VALUE!</v>
      </c>
      <c r="E19" s="247"/>
      <c r="F19" s="247"/>
      <c r="G19" s="324"/>
      <c r="H19" s="261"/>
      <c r="I19" s="261"/>
      <c r="J19" s="261"/>
      <c r="K19" s="261"/>
      <c r="L19" s="261"/>
      <c r="M19" s="261"/>
      <c r="N19" s="261"/>
      <c r="O19" s="261"/>
      <c r="P19" s="261"/>
      <c r="Q19" s="361"/>
      <c r="R19" s="264"/>
      <c r="S19" s="264"/>
      <c r="T19" s="264"/>
      <c r="U19" s="325" t="e">
        <f>D19</f>
        <v>#VALUE!</v>
      </c>
      <c r="V19" s="362" t="e">
        <f>U19/$N$8</f>
        <v>#VALUE!</v>
      </c>
      <c r="W19" s="4"/>
    </row>
    <row r="20" spans="1:24">
      <c r="A20" s="2"/>
      <c r="B20" s="209" t="s">
        <v>177</v>
      </c>
      <c r="C20" s="251" t="str">
        <f>Personalaufwendungen!C31</f>
        <v>Leitung / Verwaltung</v>
      </c>
      <c r="D20" s="582" t="e">
        <f>Personalaufwendungen!I34*Personalaufwendungen!H34*(1+pnk+Personalaufwendungen!I57)*(1+risiko)</f>
        <v>#VALUE!</v>
      </c>
      <c r="E20" s="247" t="e">
        <f>G20+I20+K20+M20+O20+Q20</f>
        <v>#VALUE!</v>
      </c>
      <c r="F20" s="247">
        <v>0.5</v>
      </c>
      <c r="G20" s="324" t="e">
        <f>D20*F20/$N$6*$H$11</f>
        <v>#VALUE!</v>
      </c>
      <c r="H20" s="263" t="e">
        <f>G20/$H$11</f>
        <v>#VALUE!</v>
      </c>
      <c r="I20" s="355" t="e">
        <f>D20*F20/$N$6*$J$11</f>
        <v>#VALUE!</v>
      </c>
      <c r="J20" s="263" t="e">
        <f t="shared" si="1"/>
        <v>#VALUE!</v>
      </c>
      <c r="K20" s="356" t="e">
        <f>D20*F20/$N$6*$L$11</f>
        <v>#VALUE!</v>
      </c>
      <c r="L20" s="263" t="e">
        <f t="shared" si="2"/>
        <v>#VALUE!</v>
      </c>
      <c r="M20" s="356" t="e">
        <f>D20*F20/$N$6*$N$11</f>
        <v>#VALUE!</v>
      </c>
      <c r="N20" s="263" t="e">
        <f t="shared" si="3"/>
        <v>#VALUE!</v>
      </c>
      <c r="O20" s="356" t="e">
        <f>D20*F20/$N$6*$P$11</f>
        <v>#VALUE!</v>
      </c>
      <c r="P20" s="263" t="e">
        <f t="shared" si="4"/>
        <v>#VALUE!</v>
      </c>
      <c r="Q20" s="356" t="e">
        <f>D20*F20</f>
        <v>#VALUE!</v>
      </c>
      <c r="R20" s="263" t="e">
        <f>Q20/divisor</f>
        <v>#VALUE!</v>
      </c>
      <c r="S20" s="273"/>
      <c r="T20" s="250"/>
      <c r="U20" s="273"/>
      <c r="V20" s="250"/>
      <c r="W20" s="4"/>
    </row>
    <row r="21" spans="1:24">
      <c r="A21" s="2"/>
      <c r="B21" s="254" t="s">
        <v>178</v>
      </c>
      <c r="C21" s="251" t="str">
        <f>Personalaufwendungen!C36</f>
        <v>Hauswirtschaft</v>
      </c>
      <c r="D21" s="582" t="e">
        <f>Personalaufwendungen!I39*Personalaufwendungen!H39*(1+pnk+Personalaufwendungen!I57)*(1+risiko)</f>
        <v>#VALUE!</v>
      </c>
      <c r="E21" s="247" t="e">
        <f>G21+I21+K21+M21+O21+Q21</f>
        <v>#VALUE!</v>
      </c>
      <c r="F21" s="247">
        <v>0.5</v>
      </c>
      <c r="G21" s="324" t="e">
        <f>D21*F21/$N$6*$H$11</f>
        <v>#VALUE!</v>
      </c>
      <c r="H21" s="252" t="e">
        <f>G21/$H$11</f>
        <v>#VALUE!</v>
      </c>
      <c r="I21" s="260" t="e">
        <f>D21*F21/$N$6*$J$11</f>
        <v>#VALUE!</v>
      </c>
      <c r="J21" s="252" t="e">
        <f t="shared" si="1"/>
        <v>#VALUE!</v>
      </c>
      <c r="K21" s="324" t="e">
        <f>D21*F21/$N$6*$L$11</f>
        <v>#VALUE!</v>
      </c>
      <c r="L21" s="252" t="e">
        <f t="shared" si="2"/>
        <v>#VALUE!</v>
      </c>
      <c r="M21" s="324" t="e">
        <f>D21*F21/$N$6*$N$11</f>
        <v>#VALUE!</v>
      </c>
      <c r="N21" s="252" t="e">
        <f t="shared" si="3"/>
        <v>#VALUE!</v>
      </c>
      <c r="O21" s="324" t="e">
        <f>D21*F21/$N$6*$P$11</f>
        <v>#VALUE!</v>
      </c>
      <c r="P21" s="252" t="e">
        <f t="shared" si="4"/>
        <v>#VALUE!</v>
      </c>
      <c r="Q21" s="324" t="e">
        <f>D21*F21</f>
        <v>#VALUE!</v>
      </c>
      <c r="R21" s="252" t="e">
        <f>Q21/divisor</f>
        <v>#VALUE!</v>
      </c>
      <c r="S21" s="273"/>
      <c r="T21" s="250"/>
      <c r="U21" s="273"/>
      <c r="V21" s="250"/>
      <c r="W21" s="4"/>
      <c r="X21" s="101"/>
    </row>
    <row r="22" spans="1:24">
      <c r="A22" s="2"/>
      <c r="B22" s="209" t="s">
        <v>179</v>
      </c>
      <c r="C22" s="251" t="str">
        <f>Personalaufwendungen!C41</f>
        <v>Küche</v>
      </c>
      <c r="D22" s="582" t="e">
        <f>Personalaufwendungen!I41*Personalaufwendungen!H41*(1+pnk+Personalaufwendungen!I57)*(1+risiko)</f>
        <v>#VALUE!</v>
      </c>
      <c r="E22" s="247" t="e">
        <f>G22+I22+K22+M22+O22+Q22</f>
        <v>#VALUE!</v>
      </c>
      <c r="F22" s="247">
        <v>0.5</v>
      </c>
      <c r="G22" s="324" t="e">
        <f>D22*F22/$N$6*$H$11</f>
        <v>#VALUE!</v>
      </c>
      <c r="H22" s="252" t="e">
        <f>G22/$H$11</f>
        <v>#VALUE!</v>
      </c>
      <c r="I22" s="260" t="e">
        <f>D22*F22/$N$6*$J$11</f>
        <v>#VALUE!</v>
      </c>
      <c r="J22" s="252" t="e">
        <f t="shared" si="1"/>
        <v>#VALUE!</v>
      </c>
      <c r="K22" s="324" t="e">
        <f>D22*F22/$N$6*$L$11</f>
        <v>#VALUE!</v>
      </c>
      <c r="L22" s="252" t="e">
        <f t="shared" si="2"/>
        <v>#VALUE!</v>
      </c>
      <c r="M22" s="324" t="e">
        <f>D22*F22/$N$6*$N$11</f>
        <v>#VALUE!</v>
      </c>
      <c r="N22" s="252" t="e">
        <f t="shared" si="3"/>
        <v>#VALUE!</v>
      </c>
      <c r="O22" s="324" t="e">
        <f>D22*F22/$N$6*$P$11</f>
        <v>#VALUE!</v>
      </c>
      <c r="P22" s="252" t="e">
        <f t="shared" si="4"/>
        <v>#VALUE!</v>
      </c>
      <c r="Q22" s="324" t="e">
        <f>D22*F22</f>
        <v>#VALUE!</v>
      </c>
      <c r="R22" s="252" t="e">
        <f>Q22/divisor</f>
        <v>#VALUE!</v>
      </c>
      <c r="S22" s="273"/>
      <c r="T22" s="250"/>
      <c r="U22" s="273"/>
      <c r="V22" s="250"/>
      <c r="W22" s="4"/>
    </row>
    <row r="23" spans="1:24">
      <c r="A23" s="2"/>
      <c r="B23" s="209" t="s">
        <v>180</v>
      </c>
      <c r="C23" s="251" t="str">
        <f>Personalaufwendungen!C43</f>
        <v>Haustechnik</v>
      </c>
      <c r="D23" s="582" t="e">
        <f>Personalaufwendungen!I43*Personalaufwendungen!H43*(1+pnk+Personalaufwendungen!I57)*(1+risiko)</f>
        <v>#VALUE!</v>
      </c>
      <c r="E23" s="247" t="e">
        <f>G23+I23+K23+M23+O23+Q23</f>
        <v>#VALUE!</v>
      </c>
      <c r="F23" s="247">
        <v>0.5</v>
      </c>
      <c r="G23" s="324" t="e">
        <f>D23*F23/$N$6*$H$11</f>
        <v>#VALUE!</v>
      </c>
      <c r="H23" s="252" t="e">
        <f>G23/$H$11</f>
        <v>#VALUE!</v>
      </c>
      <c r="I23" s="260" t="e">
        <f>D23*F23/$N$6*$J$11</f>
        <v>#VALUE!</v>
      </c>
      <c r="J23" s="252" t="e">
        <f t="shared" si="1"/>
        <v>#VALUE!</v>
      </c>
      <c r="K23" s="324" t="e">
        <f>D23*F23/$N$6*$L$11</f>
        <v>#VALUE!</v>
      </c>
      <c r="L23" s="252" t="e">
        <f t="shared" si="2"/>
        <v>#VALUE!</v>
      </c>
      <c r="M23" s="324" t="e">
        <f>D23*F23/$N$6*$N$11</f>
        <v>#VALUE!</v>
      </c>
      <c r="N23" s="252" t="e">
        <f t="shared" si="3"/>
        <v>#VALUE!</v>
      </c>
      <c r="O23" s="324" t="e">
        <f>D23*F23/$N$6*$P$11</f>
        <v>#VALUE!</v>
      </c>
      <c r="P23" s="252" t="e">
        <f t="shared" si="4"/>
        <v>#VALUE!</v>
      </c>
      <c r="Q23" s="324" t="e">
        <f>D23*F23</f>
        <v>#VALUE!</v>
      </c>
      <c r="R23" s="252" t="e">
        <f>Q23/divisor</f>
        <v>#VALUE!</v>
      </c>
      <c r="S23" s="273"/>
      <c r="T23" s="250"/>
      <c r="U23" s="273"/>
      <c r="V23" s="250"/>
      <c r="W23" s="4"/>
    </row>
    <row r="24" spans="1:24">
      <c r="A24" s="2"/>
      <c r="B24" s="209" t="s">
        <v>190</v>
      </c>
      <c r="C24" s="351" t="s">
        <v>392</v>
      </c>
      <c r="D24" s="582">
        <f>Personalaufwendungen!I62*Personalaufwendungen!H62+Personalaufwendungen!I64*Personalaufwendungen!H64</f>
        <v>0</v>
      </c>
      <c r="E24" s="247" t="e">
        <f>G24+I24+K24+M24+O24+Q24</f>
        <v>#DIV/0!</v>
      </c>
      <c r="F24" s="247">
        <v>0.5</v>
      </c>
      <c r="G24" s="324" t="e">
        <f>D24*F24/$N$6*$H$11</f>
        <v>#DIV/0!</v>
      </c>
      <c r="H24" s="252" t="e">
        <f>G24/$H$11</f>
        <v>#DIV/0!</v>
      </c>
      <c r="I24" s="260" t="e">
        <f>D24*F24/$N$6*$J$11</f>
        <v>#DIV/0!</v>
      </c>
      <c r="J24" s="252" t="e">
        <f t="shared" si="1"/>
        <v>#DIV/0!</v>
      </c>
      <c r="K24" s="324" t="e">
        <f>D24*F24/$N$6*$L$11</f>
        <v>#DIV/0!</v>
      </c>
      <c r="L24" s="252" t="e">
        <f t="shared" si="2"/>
        <v>#DIV/0!</v>
      </c>
      <c r="M24" s="324" t="e">
        <f>D24*F24/$N$6*$N$11</f>
        <v>#DIV/0!</v>
      </c>
      <c r="N24" s="252" t="e">
        <f t="shared" si="3"/>
        <v>#DIV/0!</v>
      </c>
      <c r="O24" s="324" t="e">
        <f>D24*F24/$N$6*$P$11</f>
        <v>#DIV/0!</v>
      </c>
      <c r="P24" s="252" t="e">
        <f t="shared" si="4"/>
        <v>#DIV/0!</v>
      </c>
      <c r="Q24" s="324">
        <f>D24*F24</f>
        <v>0</v>
      </c>
      <c r="R24" s="252" t="e">
        <f>Q24/divisor</f>
        <v>#DIV/0!</v>
      </c>
      <c r="S24" s="273"/>
      <c r="T24" s="250"/>
      <c r="U24" s="273"/>
      <c r="V24" s="250"/>
      <c r="W24" s="4"/>
      <c r="X24" s="103"/>
    </row>
    <row r="25" spans="1:24">
      <c r="A25" s="2"/>
      <c r="C25" s="255"/>
      <c r="D25" s="320"/>
      <c r="E25" s="256"/>
      <c r="F25" s="256"/>
      <c r="G25" s="325"/>
      <c r="H25" s="250"/>
      <c r="I25" s="325"/>
      <c r="J25" s="250"/>
      <c r="K25" s="325"/>
      <c r="L25" s="250"/>
      <c r="M25" s="325"/>
      <c r="N25" s="250"/>
      <c r="O25" s="325"/>
      <c r="P25" s="250"/>
      <c r="Q25" s="325"/>
      <c r="R25" s="250"/>
      <c r="S25" s="273"/>
      <c r="T25" s="250"/>
      <c r="U25" s="273"/>
      <c r="V25" s="250"/>
      <c r="W25" s="4"/>
    </row>
    <row r="26" spans="1:24">
      <c r="A26" s="2"/>
      <c r="B26" s="285" t="s">
        <v>50</v>
      </c>
      <c r="C26" s="246" t="s">
        <v>181</v>
      </c>
      <c r="D26" s="581">
        <f>SUM(D27:D36)</f>
        <v>0</v>
      </c>
      <c r="E26" s="247" t="e">
        <f>G26+I26+K26+M26+O26+Q26+S26</f>
        <v>#DIV/0!</v>
      </c>
      <c r="F26" s="247"/>
      <c r="G26" s="322" t="e">
        <f t="shared" ref="G26:L26" si="5">SUM(G28:G36)</f>
        <v>#DIV/0!</v>
      </c>
      <c r="H26" s="248" t="e">
        <f t="shared" si="5"/>
        <v>#DIV/0!</v>
      </c>
      <c r="I26" s="330" t="e">
        <f t="shared" si="5"/>
        <v>#DIV/0!</v>
      </c>
      <c r="J26" s="248" t="e">
        <f t="shared" si="5"/>
        <v>#DIV/0!</v>
      </c>
      <c r="K26" s="322" t="e">
        <f t="shared" si="5"/>
        <v>#DIV/0!</v>
      </c>
      <c r="L26" s="248" t="e">
        <f t="shared" si="5"/>
        <v>#DIV/0!</v>
      </c>
      <c r="M26" s="322" t="e">
        <f t="shared" ref="M26:P26" si="6">SUM(M28:M36)</f>
        <v>#DIV/0!</v>
      </c>
      <c r="N26" s="248" t="e">
        <f t="shared" si="6"/>
        <v>#DIV/0!</v>
      </c>
      <c r="O26" s="322" t="e">
        <f t="shared" si="6"/>
        <v>#DIV/0!</v>
      </c>
      <c r="P26" s="248" t="e">
        <f t="shared" si="6"/>
        <v>#DIV/0!</v>
      </c>
      <c r="Q26" s="333">
        <f>SUM(Q29:Q36)</f>
        <v>0</v>
      </c>
      <c r="R26" s="249" t="e">
        <f>SUM(R29:R36)</f>
        <v>#DIV/0!</v>
      </c>
      <c r="S26" s="333">
        <f>SUM(S27:S36)</f>
        <v>0</v>
      </c>
      <c r="T26" s="249" t="e">
        <f>SUM(T27:T36)</f>
        <v>#DIV/0!</v>
      </c>
      <c r="U26" s="353"/>
      <c r="V26" s="250"/>
      <c r="W26" s="4"/>
    </row>
    <row r="27" spans="1:24">
      <c r="A27" s="2"/>
      <c r="B27" s="352" t="s">
        <v>81</v>
      </c>
      <c r="C27" s="259" t="str">
        <f>Sachaufwendungen!C32</f>
        <v>Lebensmittel</v>
      </c>
      <c r="D27" s="582">
        <f>Sachaufwendungen!L32</f>
        <v>0</v>
      </c>
      <c r="E27" s="260"/>
      <c r="F27" s="260"/>
      <c r="G27" s="326"/>
      <c r="H27" s="261"/>
      <c r="I27" s="260"/>
      <c r="J27" s="261"/>
      <c r="K27" s="260"/>
      <c r="L27" s="261"/>
      <c r="M27" s="260"/>
      <c r="N27" s="261"/>
      <c r="O27" s="260"/>
      <c r="P27" s="261"/>
      <c r="Q27" s="260"/>
      <c r="R27" s="262"/>
      <c r="S27" s="324">
        <f>D27</f>
        <v>0</v>
      </c>
      <c r="T27" s="263" t="e">
        <f>S27/divisor</f>
        <v>#DIV/0!</v>
      </c>
      <c r="U27" s="325"/>
      <c r="V27" s="250"/>
      <c r="W27" s="4"/>
    </row>
    <row r="28" spans="1:24">
      <c r="A28" s="2"/>
      <c r="B28" s="352" t="s">
        <v>83</v>
      </c>
      <c r="C28" s="259" t="str">
        <f>Sachaufwendungen!C33</f>
        <v>Pflegerischer Bedarf</v>
      </c>
      <c r="D28" s="582">
        <f>Sachaufwendungen!L33</f>
        <v>0</v>
      </c>
      <c r="E28" s="247" t="e">
        <f t="shared" ref="E28:E36" si="7">G28+I28+K28+M28+O28+Q28+S28</f>
        <v>#DIV/0!</v>
      </c>
      <c r="F28" s="247">
        <v>1</v>
      </c>
      <c r="G28" s="324" t="e">
        <f t="shared" ref="G28:G36" si="8">D28*F28/divisor*$H$11</f>
        <v>#DIV/0!</v>
      </c>
      <c r="H28" s="252" t="e">
        <f t="shared" ref="H28:H36" si="9">G28/$H$11</f>
        <v>#DIV/0!</v>
      </c>
      <c r="I28" s="260" t="e">
        <f t="shared" ref="I28:I36" si="10">D28*F28/divisor*$J$11</f>
        <v>#DIV/0!</v>
      </c>
      <c r="J28" s="252" t="e">
        <f t="shared" ref="J28:J36" si="11">I28/$J$11</f>
        <v>#DIV/0!</v>
      </c>
      <c r="K28" s="324" t="e">
        <f t="shared" ref="K28:K36" si="12">D28*F28/divisor*$L$11</f>
        <v>#DIV/0!</v>
      </c>
      <c r="L28" s="252" t="e">
        <f t="shared" ref="L28:L36" si="13">K28/$L$11</f>
        <v>#DIV/0!</v>
      </c>
      <c r="M28" s="324" t="e">
        <f t="shared" ref="M28:M36" si="14">D28*F28/divisor*$N$11</f>
        <v>#DIV/0!</v>
      </c>
      <c r="N28" s="252" t="e">
        <f t="shared" ref="N28:N36" si="15">M28/$N$11</f>
        <v>#DIV/0!</v>
      </c>
      <c r="O28" s="324" t="e">
        <f t="shared" ref="O28:O36" si="16">D28*F28/divisor*$P$11</f>
        <v>#DIV/0!</v>
      </c>
      <c r="P28" s="252" t="e">
        <f t="shared" ref="P28:P36" si="17">O28/$P$11</f>
        <v>#DIV/0!</v>
      </c>
      <c r="Q28" s="337"/>
      <c r="R28" s="264"/>
      <c r="S28" s="339"/>
      <c r="T28" s="250"/>
      <c r="U28" s="273"/>
      <c r="V28" s="250"/>
      <c r="W28" s="4"/>
    </row>
    <row r="29" spans="1:24">
      <c r="A29" s="2"/>
      <c r="B29" s="352" t="s">
        <v>85</v>
      </c>
      <c r="C29" s="265" t="str">
        <f>Sachaufwendungen!C34</f>
        <v>Wasser, Energie, Brennstoffe</v>
      </c>
      <c r="D29" s="582">
        <f>Sachaufwendungen!L34</f>
        <v>0</v>
      </c>
      <c r="E29" s="247" t="e">
        <f t="shared" si="7"/>
        <v>#DIV/0!</v>
      </c>
      <c r="F29" s="247">
        <v>0.5</v>
      </c>
      <c r="G29" s="324" t="e">
        <f t="shared" si="8"/>
        <v>#DIV/0!</v>
      </c>
      <c r="H29" s="252" t="e">
        <f t="shared" si="9"/>
        <v>#DIV/0!</v>
      </c>
      <c r="I29" s="260" t="e">
        <f t="shared" si="10"/>
        <v>#DIV/0!</v>
      </c>
      <c r="J29" s="252" t="e">
        <f t="shared" si="11"/>
        <v>#DIV/0!</v>
      </c>
      <c r="K29" s="324" t="e">
        <f t="shared" si="12"/>
        <v>#DIV/0!</v>
      </c>
      <c r="L29" s="252" t="e">
        <f t="shared" si="13"/>
        <v>#DIV/0!</v>
      </c>
      <c r="M29" s="324" t="e">
        <f t="shared" si="14"/>
        <v>#DIV/0!</v>
      </c>
      <c r="N29" s="252" t="e">
        <f t="shared" si="15"/>
        <v>#DIV/0!</v>
      </c>
      <c r="O29" s="324" t="e">
        <f t="shared" si="16"/>
        <v>#DIV/0!</v>
      </c>
      <c r="P29" s="252" t="e">
        <f t="shared" si="17"/>
        <v>#DIV/0!</v>
      </c>
      <c r="Q29" s="324">
        <f>D29*F29</f>
        <v>0</v>
      </c>
      <c r="R29" s="252" t="e">
        <f>Q29/divisor</f>
        <v>#DIV/0!</v>
      </c>
      <c r="S29" s="340"/>
      <c r="T29" s="250"/>
      <c r="U29" s="273"/>
      <c r="V29" s="250"/>
      <c r="W29" s="4"/>
    </row>
    <row r="30" spans="1:24">
      <c r="A30" s="2"/>
      <c r="B30" s="352" t="s">
        <v>87</v>
      </c>
      <c r="C30" s="259" t="str">
        <f>Sachaufwendungen!C35</f>
        <v>Verwaltungsbedarf</v>
      </c>
      <c r="D30" s="582">
        <f>Sachaufwendungen!L35</f>
        <v>0</v>
      </c>
      <c r="E30" s="247" t="e">
        <f t="shared" si="7"/>
        <v>#DIV/0!</v>
      </c>
      <c r="F30" s="247">
        <v>0.5</v>
      </c>
      <c r="G30" s="324" t="e">
        <f t="shared" si="8"/>
        <v>#DIV/0!</v>
      </c>
      <c r="H30" s="252" t="e">
        <f t="shared" si="9"/>
        <v>#DIV/0!</v>
      </c>
      <c r="I30" s="260" t="e">
        <f t="shared" si="10"/>
        <v>#DIV/0!</v>
      </c>
      <c r="J30" s="252" t="e">
        <f t="shared" si="11"/>
        <v>#DIV/0!</v>
      </c>
      <c r="K30" s="324" t="e">
        <f t="shared" si="12"/>
        <v>#DIV/0!</v>
      </c>
      <c r="L30" s="252" t="e">
        <f t="shared" si="13"/>
        <v>#DIV/0!</v>
      </c>
      <c r="M30" s="324" t="e">
        <f t="shared" si="14"/>
        <v>#DIV/0!</v>
      </c>
      <c r="N30" s="252" t="e">
        <f t="shared" si="15"/>
        <v>#DIV/0!</v>
      </c>
      <c r="O30" s="324" t="e">
        <f t="shared" si="16"/>
        <v>#DIV/0!</v>
      </c>
      <c r="P30" s="252" t="e">
        <f t="shared" si="17"/>
        <v>#DIV/0!</v>
      </c>
      <c r="Q30" s="324">
        <f>D30*F30</f>
        <v>0</v>
      </c>
      <c r="R30" s="252" t="e">
        <f>Q30/divisor</f>
        <v>#DIV/0!</v>
      </c>
      <c r="S30" s="340"/>
      <c r="T30" s="250"/>
      <c r="U30" s="273"/>
      <c r="V30" s="250"/>
      <c r="W30" s="4"/>
    </row>
    <row r="31" spans="1:24">
      <c r="A31" s="2"/>
      <c r="B31" s="352" t="s">
        <v>89</v>
      </c>
      <c r="C31" s="259" t="str">
        <f>Sachaufwendungen!C36</f>
        <v>Zentrale Verwaltungsdienste</v>
      </c>
      <c r="D31" s="582">
        <f>Sachaufwendungen!L36</f>
        <v>0</v>
      </c>
      <c r="E31" s="247" t="e">
        <f t="shared" si="7"/>
        <v>#DIV/0!</v>
      </c>
      <c r="F31" s="247">
        <v>0.5</v>
      </c>
      <c r="G31" s="324" t="e">
        <f t="shared" si="8"/>
        <v>#DIV/0!</v>
      </c>
      <c r="H31" s="252" t="e">
        <f t="shared" si="9"/>
        <v>#DIV/0!</v>
      </c>
      <c r="I31" s="260" t="e">
        <f t="shared" si="10"/>
        <v>#DIV/0!</v>
      </c>
      <c r="J31" s="252" t="e">
        <f t="shared" si="11"/>
        <v>#DIV/0!</v>
      </c>
      <c r="K31" s="324" t="e">
        <f t="shared" si="12"/>
        <v>#DIV/0!</v>
      </c>
      <c r="L31" s="252" t="e">
        <f t="shared" si="13"/>
        <v>#DIV/0!</v>
      </c>
      <c r="M31" s="324" t="e">
        <f t="shared" si="14"/>
        <v>#DIV/0!</v>
      </c>
      <c r="N31" s="252" t="e">
        <f t="shared" si="15"/>
        <v>#DIV/0!</v>
      </c>
      <c r="O31" s="324" t="e">
        <f t="shared" si="16"/>
        <v>#DIV/0!</v>
      </c>
      <c r="P31" s="252" t="e">
        <f t="shared" si="17"/>
        <v>#DIV/0!</v>
      </c>
      <c r="Q31" s="324">
        <f>D31*F31</f>
        <v>0</v>
      </c>
      <c r="R31" s="252" t="e">
        <f>Q31/divisor</f>
        <v>#DIV/0!</v>
      </c>
      <c r="S31" s="340"/>
      <c r="T31" s="250"/>
      <c r="U31" s="273"/>
      <c r="V31" s="250"/>
      <c r="W31" s="4"/>
    </row>
    <row r="32" spans="1:24">
      <c r="A32" s="2"/>
      <c r="B32" s="352" t="s">
        <v>91</v>
      </c>
      <c r="C32" s="259" t="str">
        <f>Sachaufwendungen!C37</f>
        <v>Betreuungsaufwand</v>
      </c>
      <c r="D32" s="582">
        <f>Sachaufwendungen!L37</f>
        <v>0</v>
      </c>
      <c r="E32" s="247" t="e">
        <f t="shared" si="7"/>
        <v>#DIV/0!</v>
      </c>
      <c r="F32" s="247">
        <v>1</v>
      </c>
      <c r="G32" s="324" t="e">
        <f t="shared" si="8"/>
        <v>#DIV/0!</v>
      </c>
      <c r="H32" s="252" t="e">
        <f t="shared" si="9"/>
        <v>#DIV/0!</v>
      </c>
      <c r="I32" s="260" t="e">
        <f t="shared" si="10"/>
        <v>#DIV/0!</v>
      </c>
      <c r="J32" s="252" t="e">
        <f t="shared" si="11"/>
        <v>#DIV/0!</v>
      </c>
      <c r="K32" s="324" t="e">
        <f t="shared" si="12"/>
        <v>#DIV/0!</v>
      </c>
      <c r="L32" s="252" t="e">
        <f t="shared" si="13"/>
        <v>#DIV/0!</v>
      </c>
      <c r="M32" s="324" t="e">
        <f t="shared" si="14"/>
        <v>#DIV/0!</v>
      </c>
      <c r="N32" s="252" t="e">
        <f t="shared" si="15"/>
        <v>#DIV/0!</v>
      </c>
      <c r="O32" s="324" t="e">
        <f t="shared" si="16"/>
        <v>#DIV/0!</v>
      </c>
      <c r="P32" s="252" t="e">
        <f t="shared" si="17"/>
        <v>#DIV/0!</v>
      </c>
      <c r="Q32" s="337"/>
      <c r="R32" s="264"/>
      <c r="S32" s="273"/>
      <c r="T32" s="250"/>
      <c r="U32" s="273"/>
      <c r="V32" s="250"/>
      <c r="W32" s="4"/>
    </row>
    <row r="33" spans="1:24">
      <c r="A33" s="2"/>
      <c r="B33" s="258" t="s">
        <v>93</v>
      </c>
      <c r="C33" s="259" t="str">
        <f>Sachaufwendungen!C38</f>
        <v>Wirtschaftsbedarf</v>
      </c>
      <c r="D33" s="582">
        <f>Sachaufwendungen!L38</f>
        <v>0</v>
      </c>
      <c r="E33" s="247" t="e">
        <f t="shared" si="7"/>
        <v>#DIV/0!</v>
      </c>
      <c r="F33" s="247">
        <v>0.5</v>
      </c>
      <c r="G33" s="324" t="e">
        <f t="shared" si="8"/>
        <v>#DIV/0!</v>
      </c>
      <c r="H33" s="252" t="e">
        <f t="shared" si="9"/>
        <v>#DIV/0!</v>
      </c>
      <c r="I33" s="260" t="e">
        <f t="shared" si="10"/>
        <v>#DIV/0!</v>
      </c>
      <c r="J33" s="252" t="e">
        <f t="shared" si="11"/>
        <v>#DIV/0!</v>
      </c>
      <c r="K33" s="324" t="e">
        <f t="shared" si="12"/>
        <v>#DIV/0!</v>
      </c>
      <c r="L33" s="252" t="e">
        <f t="shared" si="13"/>
        <v>#DIV/0!</v>
      </c>
      <c r="M33" s="324" t="e">
        <f t="shared" si="14"/>
        <v>#DIV/0!</v>
      </c>
      <c r="N33" s="252" t="e">
        <f t="shared" si="15"/>
        <v>#DIV/0!</v>
      </c>
      <c r="O33" s="324" t="e">
        <f t="shared" si="16"/>
        <v>#DIV/0!</v>
      </c>
      <c r="P33" s="252" t="e">
        <f t="shared" si="17"/>
        <v>#DIV/0!</v>
      </c>
      <c r="Q33" s="324">
        <f>D33*F33</f>
        <v>0</v>
      </c>
      <c r="R33" s="252" t="e">
        <f>Q33/divisor</f>
        <v>#DIV/0!</v>
      </c>
      <c r="S33" s="340"/>
      <c r="T33" s="250"/>
      <c r="U33" s="273"/>
      <c r="V33" s="250"/>
      <c r="W33" s="4"/>
    </row>
    <row r="34" spans="1:24">
      <c r="A34" s="2"/>
      <c r="B34" s="258" t="s">
        <v>95</v>
      </c>
      <c r="C34" s="259" t="str">
        <f>Sachaufwendungen!C39</f>
        <v>Steuern/Abgaben/Versicherungen</v>
      </c>
      <c r="D34" s="582">
        <f>Sachaufwendungen!L39</f>
        <v>0</v>
      </c>
      <c r="E34" s="247" t="e">
        <f t="shared" si="7"/>
        <v>#DIV/0!</v>
      </c>
      <c r="F34" s="247">
        <v>0.5</v>
      </c>
      <c r="G34" s="324" t="e">
        <f t="shared" si="8"/>
        <v>#DIV/0!</v>
      </c>
      <c r="H34" s="252" t="e">
        <f t="shared" si="9"/>
        <v>#DIV/0!</v>
      </c>
      <c r="I34" s="260" t="e">
        <f t="shared" si="10"/>
        <v>#DIV/0!</v>
      </c>
      <c r="J34" s="252" t="e">
        <f t="shared" si="11"/>
        <v>#DIV/0!</v>
      </c>
      <c r="K34" s="324" t="e">
        <f t="shared" si="12"/>
        <v>#DIV/0!</v>
      </c>
      <c r="L34" s="252" t="e">
        <f t="shared" si="13"/>
        <v>#DIV/0!</v>
      </c>
      <c r="M34" s="324" t="e">
        <f t="shared" si="14"/>
        <v>#DIV/0!</v>
      </c>
      <c r="N34" s="252" t="e">
        <f t="shared" si="15"/>
        <v>#DIV/0!</v>
      </c>
      <c r="O34" s="324" t="e">
        <f t="shared" si="16"/>
        <v>#DIV/0!</v>
      </c>
      <c r="P34" s="252" t="e">
        <f t="shared" si="17"/>
        <v>#DIV/0!</v>
      </c>
      <c r="Q34" s="324">
        <f>D34*F34</f>
        <v>0</v>
      </c>
      <c r="R34" s="252" t="e">
        <f>Q34/divisor</f>
        <v>#DIV/0!</v>
      </c>
      <c r="S34" s="340"/>
      <c r="T34" s="250"/>
      <c r="U34" s="273"/>
      <c r="V34" s="250"/>
      <c r="W34" s="4"/>
    </row>
    <row r="35" spans="1:24">
      <c r="A35" s="2"/>
      <c r="B35" s="258" t="s">
        <v>97</v>
      </c>
      <c r="C35" s="266" t="str">
        <f>Sachaufwendungen!C40</f>
        <v>Wartung (keine Instandhaltung)</v>
      </c>
      <c r="D35" s="582">
        <f>Sachaufwendungen!L40</f>
        <v>0</v>
      </c>
      <c r="E35" s="247" t="e">
        <f t="shared" si="7"/>
        <v>#DIV/0!</v>
      </c>
      <c r="F35" s="247">
        <v>0.5</v>
      </c>
      <c r="G35" s="324" t="e">
        <f t="shared" si="8"/>
        <v>#DIV/0!</v>
      </c>
      <c r="H35" s="252" t="e">
        <f t="shared" si="9"/>
        <v>#DIV/0!</v>
      </c>
      <c r="I35" s="260" t="e">
        <f t="shared" si="10"/>
        <v>#DIV/0!</v>
      </c>
      <c r="J35" s="252" t="e">
        <f t="shared" si="11"/>
        <v>#DIV/0!</v>
      </c>
      <c r="K35" s="324" t="e">
        <f t="shared" si="12"/>
        <v>#DIV/0!</v>
      </c>
      <c r="L35" s="252" t="e">
        <f t="shared" si="13"/>
        <v>#DIV/0!</v>
      </c>
      <c r="M35" s="324" t="e">
        <f t="shared" si="14"/>
        <v>#DIV/0!</v>
      </c>
      <c r="N35" s="252" t="e">
        <f t="shared" si="15"/>
        <v>#DIV/0!</v>
      </c>
      <c r="O35" s="324" t="e">
        <f t="shared" si="16"/>
        <v>#DIV/0!</v>
      </c>
      <c r="P35" s="252" t="e">
        <f t="shared" si="17"/>
        <v>#DIV/0!</v>
      </c>
      <c r="Q35" s="324">
        <f>D35*F35</f>
        <v>0</v>
      </c>
      <c r="R35" s="252" t="e">
        <f>Q35/divisor</f>
        <v>#DIV/0!</v>
      </c>
      <c r="S35" s="340"/>
      <c r="T35" s="250"/>
      <c r="U35" s="273"/>
      <c r="V35" s="250"/>
      <c r="W35" s="4"/>
    </row>
    <row r="36" spans="1:24">
      <c r="A36" s="2"/>
      <c r="B36" s="258" t="s">
        <v>99</v>
      </c>
      <c r="C36" s="259" t="str">
        <f>Sachaufwendungen!C41</f>
        <v>sonstige Aufwendungen</v>
      </c>
      <c r="D36" s="582">
        <f>Sachaufwendungen!L41</f>
        <v>0</v>
      </c>
      <c r="E36" s="247" t="e">
        <f t="shared" si="7"/>
        <v>#DIV/0!</v>
      </c>
      <c r="F36" s="247">
        <v>0.5</v>
      </c>
      <c r="G36" s="324" t="e">
        <f t="shared" si="8"/>
        <v>#DIV/0!</v>
      </c>
      <c r="H36" s="252" t="e">
        <f t="shared" si="9"/>
        <v>#DIV/0!</v>
      </c>
      <c r="I36" s="260" t="e">
        <f t="shared" si="10"/>
        <v>#DIV/0!</v>
      </c>
      <c r="J36" s="252" t="e">
        <f t="shared" si="11"/>
        <v>#DIV/0!</v>
      </c>
      <c r="K36" s="324" t="e">
        <f t="shared" si="12"/>
        <v>#DIV/0!</v>
      </c>
      <c r="L36" s="252" t="e">
        <f t="shared" si="13"/>
        <v>#DIV/0!</v>
      </c>
      <c r="M36" s="324" t="e">
        <f t="shared" si="14"/>
        <v>#DIV/0!</v>
      </c>
      <c r="N36" s="252" t="e">
        <f t="shared" si="15"/>
        <v>#DIV/0!</v>
      </c>
      <c r="O36" s="324" t="e">
        <f t="shared" si="16"/>
        <v>#DIV/0!</v>
      </c>
      <c r="P36" s="252" t="e">
        <f t="shared" si="17"/>
        <v>#DIV/0!</v>
      </c>
      <c r="Q36" s="324">
        <f>D36*F36</f>
        <v>0</v>
      </c>
      <c r="R36" s="252" t="e">
        <f>Q36/divisor</f>
        <v>#DIV/0!</v>
      </c>
      <c r="S36" s="340"/>
      <c r="T36" s="250"/>
      <c r="U36" s="273"/>
      <c r="V36" s="250"/>
      <c r="W36" s="4"/>
    </row>
    <row r="37" spans="1:24">
      <c r="A37" s="2"/>
      <c r="D37" s="320"/>
      <c r="E37" s="256"/>
      <c r="F37" s="256"/>
      <c r="G37" s="325"/>
      <c r="H37" s="250"/>
      <c r="I37" s="325"/>
      <c r="J37" s="250"/>
      <c r="K37" s="325"/>
      <c r="L37" s="257"/>
      <c r="M37" s="325"/>
      <c r="N37" s="257"/>
      <c r="O37" s="325"/>
      <c r="P37" s="257"/>
      <c r="Q37" s="325"/>
      <c r="R37" s="250"/>
      <c r="S37" s="273"/>
      <c r="T37" s="250"/>
      <c r="U37" s="273"/>
      <c r="V37" s="250"/>
      <c r="W37" s="4"/>
    </row>
    <row r="38" spans="1:24">
      <c r="A38" s="2"/>
      <c r="B38" s="267" t="s">
        <v>182</v>
      </c>
      <c r="C38" s="268" t="s">
        <v>183</v>
      </c>
      <c r="D38" s="581">
        <f t="shared" ref="D38:R38" si="18">SUM(D39:D45)</f>
        <v>0</v>
      </c>
      <c r="E38" s="247" t="e">
        <f t="shared" si="18"/>
        <v>#DIV/0!</v>
      </c>
      <c r="F38" s="247"/>
      <c r="G38" s="322" t="e">
        <f t="shared" si="18"/>
        <v>#DIV/0!</v>
      </c>
      <c r="H38" s="248" t="e">
        <f t="shared" si="18"/>
        <v>#DIV/0!</v>
      </c>
      <c r="I38" s="330" t="e">
        <f t="shared" si="18"/>
        <v>#DIV/0!</v>
      </c>
      <c r="J38" s="248" t="e">
        <f t="shared" si="18"/>
        <v>#DIV/0!</v>
      </c>
      <c r="K38" s="322" t="e">
        <f t="shared" si="18"/>
        <v>#DIV/0!</v>
      </c>
      <c r="L38" s="248" t="e">
        <f t="shared" si="18"/>
        <v>#DIV/0!</v>
      </c>
      <c r="M38" s="322" t="e">
        <f t="shared" ref="M38:P38" si="19">SUM(M39:M45)</f>
        <v>#DIV/0!</v>
      </c>
      <c r="N38" s="248" t="e">
        <f t="shared" si="19"/>
        <v>#DIV/0!</v>
      </c>
      <c r="O38" s="322" t="e">
        <f t="shared" si="19"/>
        <v>#DIV/0!</v>
      </c>
      <c r="P38" s="248" t="e">
        <f t="shared" si="19"/>
        <v>#DIV/0!</v>
      </c>
      <c r="Q38" s="333">
        <f t="shared" si="18"/>
        <v>0</v>
      </c>
      <c r="R38" s="249" t="e">
        <f t="shared" si="18"/>
        <v>#DIV/0!</v>
      </c>
      <c r="S38" s="273"/>
      <c r="T38" s="250"/>
      <c r="U38" s="273"/>
      <c r="V38" s="250"/>
      <c r="W38" s="4"/>
    </row>
    <row r="39" spans="1:24">
      <c r="A39" s="2"/>
      <c r="B39" s="269" t="str">
        <f>Sachaufwendungen!B51</f>
        <v>3.1</v>
      </c>
      <c r="C39" s="270" t="str">
        <f>Sachaufwendungen!C51</f>
        <v>Küche (ohne Pkt. 2.1)</v>
      </c>
      <c r="D39" s="582">
        <f>Sachaufwendungen!L51</f>
        <v>0</v>
      </c>
      <c r="E39" s="247" t="e">
        <f t="shared" ref="E39:E45" si="20">G39+I39+K39+M39+O39+Q39</f>
        <v>#DIV/0!</v>
      </c>
      <c r="F39" s="247">
        <v>0.5</v>
      </c>
      <c r="G39" s="324" t="e">
        <f t="shared" ref="G39:G45" si="21">D39*F39/divisor*$H$11</f>
        <v>#DIV/0!</v>
      </c>
      <c r="H39" s="252" t="e">
        <f t="shared" ref="H39:H45" si="22">G39/$H$11</f>
        <v>#DIV/0!</v>
      </c>
      <c r="I39" s="260" t="e">
        <f t="shared" ref="I39:I45" si="23">D39*F39/divisor*$J$11</f>
        <v>#DIV/0!</v>
      </c>
      <c r="J39" s="252" t="e">
        <f t="shared" ref="J39:J45" si="24">I39/$J$11</f>
        <v>#DIV/0!</v>
      </c>
      <c r="K39" s="324" t="e">
        <f t="shared" ref="K39:K45" si="25">D39*F39/divisor*$L$11</f>
        <v>#DIV/0!</v>
      </c>
      <c r="L39" s="252" t="e">
        <f t="shared" ref="L39:L45" si="26">K39/$L$11</f>
        <v>#DIV/0!</v>
      </c>
      <c r="M39" s="324" t="e">
        <f t="shared" ref="M39:M45" si="27">D39*F39/divisor*$N$11</f>
        <v>#DIV/0!</v>
      </c>
      <c r="N39" s="252" t="e">
        <f t="shared" ref="N39:N45" si="28">M39/$N$11</f>
        <v>#DIV/0!</v>
      </c>
      <c r="O39" s="324" t="e">
        <f t="shared" ref="O39:O45" si="29">D39*F39/divisor*$P$11</f>
        <v>#DIV/0!</v>
      </c>
      <c r="P39" s="252" t="e">
        <f t="shared" ref="P39:P45" si="30">O39/$P$11</f>
        <v>#DIV/0!</v>
      </c>
      <c r="Q39" s="324">
        <f>D39*F39</f>
        <v>0</v>
      </c>
      <c r="R39" s="252" t="e">
        <f t="shared" ref="R39:R45" si="31">Q39/divisor</f>
        <v>#DIV/0!</v>
      </c>
      <c r="S39" s="341"/>
      <c r="T39" s="312"/>
      <c r="U39" s="348"/>
      <c r="V39" s="312"/>
      <c r="W39" s="4"/>
    </row>
    <row r="40" spans="1:24">
      <c r="A40" s="2"/>
      <c r="B40" s="269" t="str">
        <f>Sachaufwendungen!B52</f>
        <v>3.2</v>
      </c>
      <c r="C40" s="270" t="str">
        <f>Sachaufwendungen!C52</f>
        <v>Wäscherei</v>
      </c>
      <c r="D40" s="582">
        <f>Sachaufwendungen!L52</f>
        <v>0</v>
      </c>
      <c r="E40" s="247" t="e">
        <f t="shared" si="20"/>
        <v>#DIV/0!</v>
      </c>
      <c r="F40" s="247">
        <v>0.5</v>
      </c>
      <c r="G40" s="324" t="e">
        <f t="shared" si="21"/>
        <v>#DIV/0!</v>
      </c>
      <c r="H40" s="252" t="e">
        <f t="shared" si="22"/>
        <v>#DIV/0!</v>
      </c>
      <c r="I40" s="260" t="e">
        <f t="shared" si="23"/>
        <v>#DIV/0!</v>
      </c>
      <c r="J40" s="252" t="e">
        <f t="shared" si="24"/>
        <v>#DIV/0!</v>
      </c>
      <c r="K40" s="324" t="e">
        <f t="shared" si="25"/>
        <v>#DIV/0!</v>
      </c>
      <c r="L40" s="252" t="e">
        <f t="shared" si="26"/>
        <v>#DIV/0!</v>
      </c>
      <c r="M40" s="324" t="e">
        <f t="shared" si="27"/>
        <v>#DIV/0!</v>
      </c>
      <c r="N40" s="252" t="e">
        <f t="shared" si="28"/>
        <v>#DIV/0!</v>
      </c>
      <c r="O40" s="324" t="e">
        <f t="shared" si="29"/>
        <v>#DIV/0!</v>
      </c>
      <c r="P40" s="252" t="e">
        <f t="shared" si="30"/>
        <v>#DIV/0!</v>
      </c>
      <c r="Q40" s="324">
        <f t="shared" ref="Q40:Q45" si="32">D40*F40</f>
        <v>0</v>
      </c>
      <c r="R40" s="252" t="e">
        <f t="shared" si="31"/>
        <v>#DIV/0!</v>
      </c>
      <c r="S40" s="342"/>
      <c r="T40" s="312"/>
      <c r="U40" s="348"/>
      <c r="V40" s="312"/>
      <c r="W40" s="271"/>
    </row>
    <row r="41" spans="1:24">
      <c r="A41" s="2"/>
      <c r="B41" s="269" t="str">
        <f>Sachaufwendungen!B53</f>
        <v>3.3</v>
      </c>
      <c r="C41" s="270" t="str">
        <f>Sachaufwendungen!C53</f>
        <v>Reinigung</v>
      </c>
      <c r="D41" s="582">
        <f>Sachaufwendungen!L53</f>
        <v>0</v>
      </c>
      <c r="E41" s="247" t="e">
        <f t="shared" si="20"/>
        <v>#DIV/0!</v>
      </c>
      <c r="F41" s="247">
        <v>0.5</v>
      </c>
      <c r="G41" s="324" t="e">
        <f t="shared" si="21"/>
        <v>#DIV/0!</v>
      </c>
      <c r="H41" s="252" t="e">
        <f t="shared" si="22"/>
        <v>#DIV/0!</v>
      </c>
      <c r="I41" s="260" t="e">
        <f t="shared" si="23"/>
        <v>#DIV/0!</v>
      </c>
      <c r="J41" s="252" t="e">
        <f t="shared" si="24"/>
        <v>#DIV/0!</v>
      </c>
      <c r="K41" s="324" t="e">
        <f t="shared" si="25"/>
        <v>#DIV/0!</v>
      </c>
      <c r="L41" s="252" t="e">
        <f t="shared" si="26"/>
        <v>#DIV/0!</v>
      </c>
      <c r="M41" s="324" t="e">
        <f t="shared" si="27"/>
        <v>#DIV/0!</v>
      </c>
      <c r="N41" s="252" t="e">
        <f t="shared" si="28"/>
        <v>#DIV/0!</v>
      </c>
      <c r="O41" s="324" t="e">
        <f t="shared" si="29"/>
        <v>#DIV/0!</v>
      </c>
      <c r="P41" s="252" t="e">
        <f t="shared" si="30"/>
        <v>#DIV/0!</v>
      </c>
      <c r="Q41" s="324">
        <f t="shared" si="32"/>
        <v>0</v>
      </c>
      <c r="R41" s="252" t="e">
        <f t="shared" si="31"/>
        <v>#DIV/0!</v>
      </c>
      <c r="S41" s="342"/>
      <c r="T41" s="312"/>
      <c r="U41" s="348"/>
      <c r="V41" s="312"/>
      <c r="W41" s="4"/>
    </row>
    <row r="42" spans="1:24">
      <c r="A42" s="2"/>
      <c r="B42" s="269" t="str">
        <f>Sachaufwendungen!B54</f>
        <v>3.4</v>
      </c>
      <c r="C42" s="270" t="str">
        <f>Sachaufwendungen!C54</f>
        <v>Verwaltung</v>
      </c>
      <c r="D42" s="582">
        <f>Sachaufwendungen!L54</f>
        <v>0</v>
      </c>
      <c r="E42" s="247" t="e">
        <f t="shared" si="20"/>
        <v>#DIV/0!</v>
      </c>
      <c r="F42" s="247">
        <v>0.5</v>
      </c>
      <c r="G42" s="324" t="e">
        <f t="shared" si="21"/>
        <v>#DIV/0!</v>
      </c>
      <c r="H42" s="252" t="e">
        <f t="shared" si="22"/>
        <v>#DIV/0!</v>
      </c>
      <c r="I42" s="260" t="e">
        <f t="shared" si="23"/>
        <v>#DIV/0!</v>
      </c>
      <c r="J42" s="252" t="e">
        <f t="shared" si="24"/>
        <v>#DIV/0!</v>
      </c>
      <c r="K42" s="324" t="e">
        <f t="shared" si="25"/>
        <v>#DIV/0!</v>
      </c>
      <c r="L42" s="252" t="e">
        <f t="shared" si="26"/>
        <v>#DIV/0!</v>
      </c>
      <c r="M42" s="324" t="e">
        <f t="shared" si="27"/>
        <v>#DIV/0!</v>
      </c>
      <c r="N42" s="252" t="e">
        <f t="shared" si="28"/>
        <v>#DIV/0!</v>
      </c>
      <c r="O42" s="324" t="e">
        <f t="shared" si="29"/>
        <v>#DIV/0!</v>
      </c>
      <c r="P42" s="252" t="e">
        <f t="shared" si="30"/>
        <v>#DIV/0!</v>
      </c>
      <c r="Q42" s="324">
        <f t="shared" si="32"/>
        <v>0</v>
      </c>
      <c r="R42" s="252" t="e">
        <f t="shared" si="31"/>
        <v>#DIV/0!</v>
      </c>
      <c r="S42" s="343"/>
      <c r="T42" s="313"/>
      <c r="U42" s="349"/>
      <c r="V42" s="313"/>
      <c r="W42" s="4"/>
    </row>
    <row r="43" spans="1:24">
      <c r="A43" s="2"/>
      <c r="B43" s="269" t="str">
        <f>Sachaufwendungen!B55</f>
        <v>3.5</v>
      </c>
      <c r="C43" s="270" t="str">
        <f>Sachaufwendungen!C55</f>
        <v>Haustechnik</v>
      </c>
      <c r="D43" s="582">
        <f>Sachaufwendungen!L55</f>
        <v>0</v>
      </c>
      <c r="E43" s="247" t="e">
        <f t="shared" si="20"/>
        <v>#DIV/0!</v>
      </c>
      <c r="F43" s="247">
        <v>0.5</v>
      </c>
      <c r="G43" s="324" t="e">
        <f t="shared" si="21"/>
        <v>#DIV/0!</v>
      </c>
      <c r="H43" s="252" t="e">
        <f t="shared" si="22"/>
        <v>#DIV/0!</v>
      </c>
      <c r="I43" s="260" t="e">
        <f t="shared" si="23"/>
        <v>#DIV/0!</v>
      </c>
      <c r="J43" s="252" t="e">
        <f t="shared" si="24"/>
        <v>#DIV/0!</v>
      </c>
      <c r="K43" s="324" t="e">
        <f t="shared" si="25"/>
        <v>#DIV/0!</v>
      </c>
      <c r="L43" s="252" t="e">
        <f t="shared" si="26"/>
        <v>#DIV/0!</v>
      </c>
      <c r="M43" s="324" t="e">
        <f t="shared" si="27"/>
        <v>#DIV/0!</v>
      </c>
      <c r="N43" s="252" t="e">
        <f t="shared" si="28"/>
        <v>#DIV/0!</v>
      </c>
      <c r="O43" s="324" t="e">
        <f t="shared" si="29"/>
        <v>#DIV/0!</v>
      </c>
      <c r="P43" s="252" t="e">
        <f t="shared" si="30"/>
        <v>#DIV/0!</v>
      </c>
      <c r="Q43" s="324">
        <f t="shared" si="32"/>
        <v>0</v>
      </c>
      <c r="R43" s="252" t="e">
        <f t="shared" si="31"/>
        <v>#DIV/0!</v>
      </c>
      <c r="S43" s="273"/>
      <c r="T43" s="250"/>
      <c r="U43" s="273"/>
      <c r="V43" s="250"/>
      <c r="W43" s="4"/>
    </row>
    <row r="44" spans="1:24">
      <c r="A44" s="2"/>
      <c r="B44" s="269" t="str">
        <f>Sachaufwendungen!B56</f>
        <v>3.6</v>
      </c>
      <c r="C44" s="270" t="str">
        <f>IF(Sachaufwendungen!C56&gt;0,Sachaufwendungen!C56,"")</f>
        <v/>
      </c>
      <c r="D44" s="582">
        <f>Sachaufwendungen!L56</f>
        <v>0</v>
      </c>
      <c r="E44" s="247" t="e">
        <f t="shared" si="20"/>
        <v>#DIV/0!</v>
      </c>
      <c r="F44" s="247">
        <v>0.5</v>
      </c>
      <c r="G44" s="324" t="e">
        <f t="shared" si="21"/>
        <v>#DIV/0!</v>
      </c>
      <c r="H44" s="252" t="e">
        <f t="shared" si="22"/>
        <v>#DIV/0!</v>
      </c>
      <c r="I44" s="260" t="e">
        <f t="shared" si="23"/>
        <v>#DIV/0!</v>
      </c>
      <c r="J44" s="252" t="e">
        <f t="shared" si="24"/>
        <v>#DIV/0!</v>
      </c>
      <c r="K44" s="324" t="e">
        <f t="shared" si="25"/>
        <v>#DIV/0!</v>
      </c>
      <c r="L44" s="252" t="e">
        <f t="shared" si="26"/>
        <v>#DIV/0!</v>
      </c>
      <c r="M44" s="324" t="e">
        <f t="shared" si="27"/>
        <v>#DIV/0!</v>
      </c>
      <c r="N44" s="252" t="e">
        <f t="shared" si="28"/>
        <v>#DIV/0!</v>
      </c>
      <c r="O44" s="324" t="e">
        <f t="shared" si="29"/>
        <v>#DIV/0!</v>
      </c>
      <c r="P44" s="252" t="e">
        <f t="shared" si="30"/>
        <v>#DIV/0!</v>
      </c>
      <c r="Q44" s="324">
        <f t="shared" si="32"/>
        <v>0</v>
      </c>
      <c r="R44" s="252" t="e">
        <f t="shared" si="31"/>
        <v>#DIV/0!</v>
      </c>
      <c r="S44" s="273"/>
      <c r="T44" s="250"/>
      <c r="U44" s="273"/>
      <c r="V44" s="250"/>
      <c r="W44" s="4"/>
    </row>
    <row r="45" spans="1:24">
      <c r="A45" s="2"/>
      <c r="B45" s="269" t="str">
        <f>Sachaufwendungen!B57</f>
        <v>3.7</v>
      </c>
      <c r="C45" s="270" t="str">
        <f>IF(Sachaufwendungen!C57&gt;0,Sachaufwendungen!C57,"")</f>
        <v/>
      </c>
      <c r="D45" s="582">
        <f>Sachaufwendungen!L57</f>
        <v>0</v>
      </c>
      <c r="E45" s="247" t="e">
        <f t="shared" si="20"/>
        <v>#DIV/0!</v>
      </c>
      <c r="F45" s="247">
        <v>0.5</v>
      </c>
      <c r="G45" s="324" t="e">
        <f t="shared" si="21"/>
        <v>#DIV/0!</v>
      </c>
      <c r="H45" s="252" t="e">
        <f t="shared" si="22"/>
        <v>#DIV/0!</v>
      </c>
      <c r="I45" s="260" t="e">
        <f t="shared" si="23"/>
        <v>#DIV/0!</v>
      </c>
      <c r="J45" s="252" t="e">
        <f t="shared" si="24"/>
        <v>#DIV/0!</v>
      </c>
      <c r="K45" s="324" t="e">
        <f t="shared" si="25"/>
        <v>#DIV/0!</v>
      </c>
      <c r="L45" s="252" t="e">
        <f t="shared" si="26"/>
        <v>#DIV/0!</v>
      </c>
      <c r="M45" s="324" t="e">
        <f t="shared" si="27"/>
        <v>#DIV/0!</v>
      </c>
      <c r="N45" s="252" t="e">
        <f t="shared" si="28"/>
        <v>#DIV/0!</v>
      </c>
      <c r="O45" s="324" t="e">
        <f t="shared" si="29"/>
        <v>#DIV/0!</v>
      </c>
      <c r="P45" s="252" t="e">
        <f t="shared" si="30"/>
        <v>#DIV/0!</v>
      </c>
      <c r="Q45" s="324">
        <f t="shared" si="32"/>
        <v>0</v>
      </c>
      <c r="R45" s="252" t="e">
        <f t="shared" si="31"/>
        <v>#DIV/0!</v>
      </c>
      <c r="S45" s="273"/>
      <c r="T45" s="250"/>
      <c r="U45" s="273"/>
      <c r="V45" s="250"/>
      <c r="W45" s="4"/>
    </row>
    <row r="46" spans="1:24">
      <c r="A46" s="2"/>
      <c r="D46" s="272"/>
      <c r="E46" s="273"/>
      <c r="F46" s="273"/>
      <c r="G46" s="327"/>
      <c r="H46" s="275"/>
      <c r="I46" s="331"/>
      <c r="J46" s="275"/>
      <c r="K46" s="334"/>
      <c r="L46" s="274"/>
      <c r="M46" s="327"/>
      <c r="N46" s="274"/>
      <c r="O46" s="327"/>
      <c r="P46" s="274"/>
      <c r="Q46" s="325"/>
      <c r="R46" s="250"/>
      <c r="S46" s="273"/>
      <c r="T46" s="250"/>
      <c r="U46" s="273"/>
      <c r="V46" s="250"/>
      <c r="W46" s="4"/>
    </row>
    <row r="47" spans="1:24">
      <c r="A47" s="2"/>
      <c r="B47" s="276"/>
      <c r="C47" s="243" t="str">
        <f>IF('Allgemeine Angaben'!D7&lt;&gt;"vst","errechnete Aufwendungen:","errechnete Aufwendungen nach Pflegegrad 2 bis 5:")</f>
        <v>errechnete Aufwendungen:</v>
      </c>
      <c r="D47" s="582">
        <f>I47+K47+M47+O47</f>
        <v>0</v>
      </c>
      <c r="E47" s="247" t="e">
        <f>D38+D26+D16-Q16-Q26-Q38-S26-G47</f>
        <v>#VALUE!</v>
      </c>
      <c r="F47" s="247"/>
      <c r="G47" s="328" t="e">
        <f>H47*H11</f>
        <v>#VALUE!</v>
      </c>
      <c r="H47" s="579" t="e">
        <f>IF(Belegung!E26=0,ROUND(Gesamtkalkulation!J51*0.78,2),ROUND((Gesamtkalkulation!H16+Gesamtkalkulation!H26+Gesamtkalkulation!H38),2))</f>
        <v>#VALUE!</v>
      </c>
      <c r="I47" s="332">
        <f>IFERROR(J47*J11,0)</f>
        <v>0</v>
      </c>
      <c r="J47" s="277" t="str">
        <f>IF(ISERROR(J38+J26+J16),"",(J38+J26+J16))</f>
        <v/>
      </c>
      <c r="K47" s="332">
        <f>IFERROR(L47*L11,0)</f>
        <v>0</v>
      </c>
      <c r="L47" s="277" t="str">
        <f>IF(ISERROR(L38+L26+L16),"",((L38+L26+L16)))</f>
        <v/>
      </c>
      <c r="M47" s="332">
        <f>IFERROR(N47*N11,0)</f>
        <v>0</v>
      </c>
      <c r="N47" s="277" t="str">
        <f>IF(ISERROR(N38+N26+N16),"",(N38+N26+N16))</f>
        <v/>
      </c>
      <c r="O47" s="332">
        <f>IFERROR(P47*P11,0)</f>
        <v>0</v>
      </c>
      <c r="P47" s="277" t="str">
        <f>IF(ISERROR(P38+P26+P16),"",(P38+P26+P16))</f>
        <v/>
      </c>
      <c r="Q47" s="338"/>
      <c r="R47" s="250"/>
      <c r="S47" s="344"/>
      <c r="T47" s="250"/>
      <c r="U47" s="273"/>
      <c r="V47" s="250"/>
      <c r="W47" s="4"/>
      <c r="X47" s="11"/>
    </row>
    <row r="48" spans="1:24">
      <c r="A48" s="2"/>
      <c r="B48" s="276"/>
      <c r="C48" s="243" t="s">
        <v>184</v>
      </c>
      <c r="D48" s="582" t="str">
        <f>IF('Allgemeine Angaben'!D7="vst",(((J12*J10)+(L12*L10)+(N12*N10)+(P12*P10))*12)*$L$6/100,"")</f>
        <v/>
      </c>
      <c r="E48" s="247" t="str">
        <f>IF('Allgemeine Angaben'!D7="vst",I48+K48+M48+O48,"")</f>
        <v/>
      </c>
      <c r="F48" s="247"/>
      <c r="G48" s="324"/>
      <c r="H48" s="252"/>
      <c r="I48" s="332" t="str">
        <f>IF('Allgemeine Angaben'!D7="vst",J12/($P$6)*J11,"")</f>
        <v/>
      </c>
      <c r="J48" s="277" t="str">
        <f>IF('Allgemeine Angaben'!D7="vst",I48/J11,"")</f>
        <v/>
      </c>
      <c r="K48" s="332" t="str">
        <f>IF('Allgemeine Angaben'!D7="vst",L12/($P$6)*L11,"")</f>
        <v/>
      </c>
      <c r="L48" s="277" t="str">
        <f>IF('Allgemeine Angaben'!D7="vst",K48/L11,"")</f>
        <v/>
      </c>
      <c r="M48" s="332" t="str">
        <f>IF('Allgemeine Angaben'!D7="vst",N12/($P$6)*N11,"")</f>
        <v/>
      </c>
      <c r="N48" s="277" t="str">
        <f>IF('Allgemeine Angaben'!D7="vst",M48/N11,"")</f>
        <v/>
      </c>
      <c r="O48" s="332" t="str">
        <f>IF('Allgemeine Angaben'!D7="vst",P12/($P$6)*P11,"")</f>
        <v/>
      </c>
      <c r="P48" s="277" t="str">
        <f>IF('Allgemeine Angaben'!D7="vst",O48/P11,"")</f>
        <v/>
      </c>
      <c r="Q48" s="338"/>
      <c r="R48" s="250"/>
      <c r="S48" s="344"/>
      <c r="T48" s="278"/>
      <c r="U48" s="350"/>
      <c r="V48" s="278"/>
      <c r="W48" s="4"/>
      <c r="X48" s="780"/>
    </row>
    <row r="49" spans="1:25">
      <c r="A49" s="2"/>
      <c r="B49" s="276"/>
      <c r="C49" s="243" t="s">
        <v>185</v>
      </c>
      <c r="D49" s="582" t="str">
        <f>IF('Allgemeine Angaben'!D7="vst",D47-D48,"")</f>
        <v/>
      </c>
      <c r="E49" s="247" t="str">
        <f>IF('Allgemeine Angaben'!D7="vst",I49+K49+M49+O49,"")</f>
        <v/>
      </c>
      <c r="F49" s="247"/>
      <c r="G49" s="324"/>
      <c r="H49" s="252"/>
      <c r="I49" s="332" t="str">
        <f>IF('Allgemeine Angaben'!D7="vst",(I47-I48),"")</f>
        <v/>
      </c>
      <c r="J49" s="277" t="str">
        <f>IF('Allgemeine Angaben'!$D$7="vst",ROUND($D$49/eeadivisor,2),"")</f>
        <v/>
      </c>
      <c r="K49" s="332" t="str">
        <f>IF('Allgemeine Angaben'!D7="vst",(K47-K48),"")</f>
        <v/>
      </c>
      <c r="L49" s="277" t="str">
        <f>IF('Allgemeine Angaben'!$D$7="vst",ROUND($D$49/eeadivisor,2),"")</f>
        <v/>
      </c>
      <c r="M49" s="332" t="str">
        <f>IF('Allgemeine Angaben'!D7="vst",(M47-M48),"")</f>
        <v/>
      </c>
      <c r="N49" s="277" t="str">
        <f>IF('Allgemeine Angaben'!$D$7="vst",ROUND($D$49/eeadivisor,2),"")</f>
        <v/>
      </c>
      <c r="O49" s="332" t="str">
        <f>IF('Allgemeine Angaben'!D7="vst",(O47-O48),"")</f>
        <v/>
      </c>
      <c r="P49" s="277" t="str">
        <f>IF('Allgemeine Angaben'!$D$7="vst",ROUND($D$49/eeadivisor,2),"")</f>
        <v/>
      </c>
      <c r="Q49" s="338"/>
      <c r="R49" s="284" t="s">
        <v>189</v>
      </c>
      <c r="S49" s="344"/>
      <c r="T49" s="278"/>
      <c r="U49" s="350"/>
      <c r="V49" s="278"/>
      <c r="W49" s="4"/>
    </row>
    <row r="50" spans="1:25" ht="15" thickBot="1">
      <c r="A50" s="2"/>
      <c r="G50" s="233"/>
      <c r="H50" s="279"/>
      <c r="I50" s="283"/>
      <c r="J50" s="280"/>
      <c r="K50" s="283"/>
      <c r="L50" s="280"/>
      <c r="M50" s="283"/>
      <c r="N50" s="280"/>
      <c r="O50" s="283"/>
      <c r="P50" s="280"/>
      <c r="Q50" s="283"/>
      <c r="S50" s="281"/>
      <c r="T50" s="279"/>
      <c r="U50" s="283"/>
      <c r="V50" s="279"/>
      <c r="W50" s="4"/>
    </row>
    <row r="51" spans="1:25" ht="15" thickBot="1">
      <c r="A51" s="2"/>
      <c r="D51" s="6" t="s">
        <v>186</v>
      </c>
      <c r="F51" s="17"/>
      <c r="G51" s="6" t="s">
        <v>142</v>
      </c>
      <c r="H51" s="282" t="str">
        <f>IF(ISERROR(H47),"",H47)</f>
        <v/>
      </c>
      <c r="I51" s="6" t="s">
        <v>143</v>
      </c>
      <c r="J51" s="654" t="str">
        <f>IF('Allgemeine Angaben'!D7="vst",ROUND(J12/$P$6+J49,2),IF('Allgemeine Angaben'!D7&lt;&gt;"vst",Forderung!U67))</f>
        <v/>
      </c>
      <c r="K51" s="6" t="s">
        <v>144</v>
      </c>
      <c r="L51" s="282" t="str">
        <f>IF('Allgemeine Angaben'!D7="vst",ROUND(L12/$P$6+L49,2),IF('Allgemeine Angaben'!D7&lt;&gt;"vst",Forderung!U68))</f>
        <v/>
      </c>
      <c r="M51" s="6" t="s">
        <v>145</v>
      </c>
      <c r="N51" s="282" t="str">
        <f>IF('Allgemeine Angaben'!D7="vst",ROUND(N12/$P$6+N49,2),IF('Allgemeine Angaben'!D7&lt;&gt;"vst",Forderung!U69))</f>
        <v/>
      </c>
      <c r="O51" s="6" t="s">
        <v>146</v>
      </c>
      <c r="P51" s="282" t="e">
        <f>IF('Allgemeine Angaben'!D7="vst",ROUND(P12/$P$6+P49,2),IF('Allgemeine Angaben'!D7&lt;&gt;"vst",Forderung!U70))</f>
        <v>#VALUE!</v>
      </c>
      <c r="Q51" s="6" t="s">
        <v>187</v>
      </c>
      <c r="R51" s="282" t="e">
        <f>ROUND(R38+R26+R16,2)</f>
        <v>#DIV/0!</v>
      </c>
      <c r="S51" s="345" t="s">
        <v>188</v>
      </c>
      <c r="T51" s="282" t="e">
        <f>ROUND(T26,2)</f>
        <v>#DIV/0!</v>
      </c>
      <c r="U51" s="796" t="s">
        <v>227</v>
      </c>
      <c r="V51" s="282" t="e">
        <f>IF('Allgemeine Angaben'!D7="vst",V19-0.03,V19)</f>
        <v>#VALUE!</v>
      </c>
      <c r="W51" s="4"/>
      <c r="X51" s="11"/>
      <c r="Y51" s="804"/>
    </row>
    <row r="52" spans="1:25" ht="15.75" customHeight="1">
      <c r="A52" s="2"/>
      <c r="D52" s="6"/>
      <c r="E52" s="279"/>
      <c r="F52" s="279"/>
      <c r="G52" s="216"/>
      <c r="H52" s="279"/>
      <c r="I52" s="128"/>
      <c r="J52" s="128"/>
      <c r="K52" s="128"/>
      <c r="L52" s="128"/>
      <c r="M52" s="128"/>
      <c r="N52" s="279"/>
      <c r="O52" s="279"/>
      <c r="P52" s="279"/>
      <c r="Q52" s="279"/>
      <c r="R52" s="279"/>
      <c r="S52" s="279"/>
      <c r="T52" s="279"/>
      <c r="U52" s="279"/>
      <c r="V52" s="279"/>
      <c r="W52" s="4"/>
      <c r="X52" s="188"/>
      <c r="Y52" s="798"/>
    </row>
    <row r="53" spans="1:25">
      <c r="A53" s="2"/>
      <c r="C53" s="5" t="str">
        <f>IF('Allgemeine Angaben'!L48&gt;0,"errechnete Pflegesätze (Tag je Platz) für angebundene Kurzzeitpflege:","")</f>
        <v/>
      </c>
      <c r="G53" s="6" t="str">
        <f>IF('Allgemeine Angaben'!$L$48&gt;0,Gesamtkalkulation!G51,"")</f>
        <v/>
      </c>
      <c r="H53" s="800" t="e">
        <f>IF(Belegung!E26&gt;0,Gesamtkalkulation!H47*0.96/0.9,J53*0.78)</f>
        <v>#VALUE!</v>
      </c>
      <c r="I53" s="6" t="str">
        <f>IF('Allgemeine Angaben'!$L$48&gt;0,Gesamtkalkulation!I51,"")</f>
        <v/>
      </c>
      <c r="J53" s="800" t="str">
        <f>IF('Allgemeine Angaben'!$L$48&gt;0,Gesamtkalkulation!J47*0.96/0.9,"")</f>
        <v/>
      </c>
      <c r="K53" s="6" t="str">
        <f>IF('Allgemeine Angaben'!$L$48&gt;0,Gesamtkalkulation!K51,"")</f>
        <v/>
      </c>
      <c r="L53" s="800" t="str">
        <f>IF('Allgemeine Angaben'!$L$48&gt;0,Gesamtkalkulation!L47*0.96/0.9,"")</f>
        <v/>
      </c>
      <c r="M53" s="6" t="str">
        <f>IF('Allgemeine Angaben'!$L$48&gt;0,Gesamtkalkulation!M51,"")</f>
        <v/>
      </c>
      <c r="N53" s="800" t="str">
        <f>IF('Allgemeine Angaben'!$L$48&gt;0,Gesamtkalkulation!N47*0.96/0.9,"")</f>
        <v/>
      </c>
      <c r="O53" s="6" t="str">
        <f>IF('Allgemeine Angaben'!$L$48&gt;0,Gesamtkalkulation!O51,"")</f>
        <v/>
      </c>
      <c r="P53" s="800" t="str">
        <f>IF('Allgemeine Angaben'!$L$48&gt;0,Gesamtkalkulation!P47*0.96/0.9,"")</f>
        <v/>
      </c>
      <c r="Q53" s="6" t="str">
        <f>IF('Allgemeine Angaben'!$L$48&gt;0,Gesamtkalkulation!Q51,"")</f>
        <v/>
      </c>
      <c r="R53" s="800" t="str">
        <f>IF('Allgemeine Angaben'!$L$48&gt;0,Gesamtkalkulation!R51*0.96/0.9,"")</f>
        <v/>
      </c>
      <c r="S53" s="6" t="str">
        <f>IF('Allgemeine Angaben'!$L$48&gt;0,Gesamtkalkulation!S51,"")</f>
        <v/>
      </c>
      <c r="T53" s="800" t="str">
        <f>IF('Allgemeine Angaben'!$L$48&gt;0,Gesamtkalkulation!T51*0.96/0.9,"")</f>
        <v/>
      </c>
      <c r="V53" s="800" t="str">
        <f>IF('Allgemeine Angaben'!$L$48&gt;0,Gesamtkalkulation!V51+0.03,"")</f>
        <v/>
      </c>
      <c r="W53" s="4"/>
      <c r="Y53" s="798"/>
    </row>
    <row r="54" spans="1:25">
      <c r="A54" s="54"/>
      <c r="B54" s="55"/>
      <c r="C54" s="100"/>
      <c r="D54" s="55"/>
      <c r="E54" s="55"/>
      <c r="F54" s="55"/>
      <c r="G54" s="816"/>
      <c r="H54" s="55"/>
      <c r="I54" s="816"/>
      <c r="J54" s="55"/>
      <c r="K54" s="816"/>
      <c r="L54" s="38"/>
      <c r="M54" s="816"/>
      <c r="N54" s="38"/>
      <c r="O54" s="816"/>
      <c r="P54" s="38"/>
      <c r="Q54" s="816"/>
      <c r="R54" s="55"/>
      <c r="S54" s="816"/>
      <c r="T54" s="55"/>
      <c r="U54" s="55"/>
      <c r="V54" s="55"/>
      <c r="W54" s="1165"/>
      <c r="Y54" s="798"/>
    </row>
    <row r="55" spans="1:25" ht="15" thickBot="1">
      <c r="C55" s="5"/>
      <c r="G55" s="6"/>
      <c r="I55" s="6"/>
      <c r="K55" s="6"/>
      <c r="L55" s="11"/>
      <c r="M55" s="6"/>
      <c r="N55" s="11"/>
      <c r="O55" s="6"/>
      <c r="P55" s="11"/>
      <c r="Q55" s="6"/>
      <c r="S55" s="6"/>
      <c r="Y55" s="798"/>
    </row>
    <row r="56" spans="1:25" ht="15" thickBot="1">
      <c r="D56" s="1161"/>
      <c r="E56" s="1162"/>
      <c r="F56" s="1162"/>
      <c r="G56" s="1162"/>
      <c r="H56" s="1370" t="s">
        <v>609</v>
      </c>
      <c r="I56" s="1450"/>
      <c r="J56" s="1450"/>
      <c r="K56" s="1450"/>
      <c r="L56" s="1450"/>
      <c r="M56" s="1450"/>
      <c r="N56" s="1451"/>
      <c r="O56" s="1163"/>
      <c r="Q56" s="1164"/>
      <c r="X56" s="125"/>
    </row>
    <row r="57" spans="1:25">
      <c r="H57" s="842"/>
    </row>
  </sheetData>
  <sheetProtection algorithmName="SHA-512" hashValue="I8Ycbifkr/Abh/7xbsCoAbYRKdcz469wTR7YggLoWTv0EU5yyTBTRKZoiSkEmEDEpAz8jHE9SCZD/1n+F2qmVA==" saltValue="pdi+2QCigLUpFz0JqVoBrA==" spinCount="100000" sheet="1" objects="1" scenarios="1"/>
  <customSheetViews>
    <customSheetView guid="{CDDBAA41-0D3E-44AF-A85A-332C81A5DAE4}" showGridLines="0" fitToPage="1" hiddenColumns="1">
      <pane xSplit="3" ySplit="15" topLeftCell="D16" activePane="bottomRight" state="frozen"/>
      <selection pane="bottomRight" activeCell="C6" sqref="C6"/>
      <pageMargins left="0.70866141732283472" right="0.70866141732283472" top="0.78740157480314965" bottom="0.78740157480314965" header="0.31496062992125984" footer="0.31496062992125984"/>
      <pageSetup paperSize="9" scale="64" orientation="landscape"/>
      <headerFooter>
        <oddHeader>&amp;C&amp;9Seite 6</oddHeader>
        <oddFooter>&amp;C&amp;8Verhandlungsunterlagen SGB XI&amp;R&amp;8Version Kostenträger Stand: 29.11.2018</oddFooter>
      </headerFooter>
    </customSheetView>
  </customSheetViews>
  <mergeCells count="5">
    <mergeCell ref="A1:W1"/>
    <mergeCell ref="A2:W2"/>
    <mergeCell ref="A3:W3"/>
    <mergeCell ref="A4:W4"/>
    <mergeCell ref="H56:N56"/>
  </mergeCells>
  <conditionalFormatting sqref="D24:D36">
    <cfRule type="cellIs" dxfId="28" priority="42" operator="between">
      <formula>0</formula>
      <formula>0</formula>
    </cfRule>
  </conditionalFormatting>
  <conditionalFormatting sqref="D38:D45">
    <cfRule type="cellIs" dxfId="27" priority="41" operator="between">
      <formula>0</formula>
      <formula>0</formula>
    </cfRule>
  </conditionalFormatting>
  <conditionalFormatting sqref="D47">
    <cfRule type="cellIs" dxfId="26" priority="48" operator="between">
      <formula>0</formula>
      <formula>0</formula>
    </cfRule>
  </conditionalFormatting>
  <conditionalFormatting sqref="D16:W52">
    <cfRule type="containsErrors" dxfId="25" priority="61">
      <formula>ISERROR(D16)</formula>
    </cfRule>
  </conditionalFormatting>
  <conditionalFormatting sqref="G53:G55">
    <cfRule type="containsErrors" dxfId="24" priority="39">
      <formula>ISERROR(G53)</formula>
    </cfRule>
  </conditionalFormatting>
  <conditionalFormatting sqref="H47">
    <cfRule type="expression" dxfId="23" priority="49">
      <formula>$I$47=0</formula>
    </cfRule>
  </conditionalFormatting>
  <conditionalFormatting sqref="H10:P10">
    <cfRule type="cellIs" dxfId="21" priority="46" operator="between">
      <formula>0</formula>
      <formula>0</formula>
    </cfRule>
  </conditionalFormatting>
  <conditionalFormatting sqref="I53:I55">
    <cfRule type="containsErrors" dxfId="19" priority="33">
      <formula>ISERROR(I53)</formula>
    </cfRule>
  </conditionalFormatting>
  <conditionalFormatting sqref="K53:K55">
    <cfRule type="containsErrors" dxfId="17" priority="38">
      <formula>ISERROR(K53)</formula>
    </cfRule>
  </conditionalFormatting>
  <conditionalFormatting sqref="L51">
    <cfRule type="containsText" dxfId="16" priority="45" operator="containsText" text="FALSCH">
      <formula>NOT(ISERROR(SEARCH("FALSCH",L51)))</formula>
    </cfRule>
  </conditionalFormatting>
  <conditionalFormatting sqref="M53:M55">
    <cfRule type="containsErrors" dxfId="14" priority="37">
      <formula>ISERROR(M53)</formula>
    </cfRule>
  </conditionalFormatting>
  <conditionalFormatting sqref="N6">
    <cfRule type="cellIs" dxfId="13" priority="47" operator="between">
      <formula>0</formula>
      <formula>0</formula>
    </cfRule>
  </conditionalFormatting>
  <conditionalFormatting sqref="N51">
    <cfRule type="containsText" dxfId="12" priority="44" operator="containsText" text="FALSCH">
      <formula>NOT(ISERROR(SEARCH("FALSCH",N51)))</formula>
    </cfRule>
  </conditionalFormatting>
  <conditionalFormatting sqref="O53:O55">
    <cfRule type="containsErrors" dxfId="10" priority="36">
      <formula>ISERROR(O53)</formula>
    </cfRule>
  </conditionalFormatting>
  <conditionalFormatting sqref="P51">
    <cfRule type="containsText" dxfId="9" priority="43" operator="containsText" text="FALSCH">
      <formula>NOT(ISERROR(SEARCH("FALSCH",P51)))</formula>
    </cfRule>
  </conditionalFormatting>
  <conditionalFormatting sqref="Q53:Q55">
    <cfRule type="containsErrors" dxfId="7" priority="35">
      <formula>ISERROR(Q53)</formula>
    </cfRule>
  </conditionalFormatting>
  <conditionalFormatting sqref="S53:S55">
    <cfRule type="containsErrors" dxfId="3" priority="34">
      <formula>ISERROR(S53)</formula>
    </cfRule>
  </conditionalFormatting>
  <conditionalFormatting sqref="Y52:Y55">
    <cfRule type="containsErrors" dxfId="0" priority="4">
      <formula>ISERROR(Y52)</formula>
    </cfRule>
  </conditionalFormatting>
  <hyperlinks>
    <hyperlink ref="H56" location="'Anlage 1'!A1" display="Anlage 1" xr:uid="{00000000-0004-0000-0900-000000000000}"/>
    <hyperlink ref="H56:N56" location="Bewohnervertretung!A1" display="gehe weiter zu Bewohnervertretung" xr:uid="{00000000-0004-0000-0900-000001000000}"/>
  </hyperlinks>
  <pageMargins left="0.70866141732283472" right="0.70866141732283472" top="0.78740157480314965" bottom="0.78740157480314965" header="0.31496062992125984" footer="0.31496062992125984"/>
  <pageSetup paperSize="9" scale="64" orientation="landscape"/>
  <headerFooter>
    <oddHeader>&amp;C&amp;9Seite 6</oddHeader>
    <oddFooter>&amp;L&amp;8Version: 21.11.2024&amp;C&amp;8Verhandlungsunterlagen TP/KZP SGB XI&amp;R&amp;8PSK vom 07.11.2024</oddFooter>
  </headerFooter>
  <legacyDrawing r:id="rId1"/>
  <extLst>
    <ext xmlns:x14="http://schemas.microsoft.com/office/spreadsheetml/2009/9/main" uri="{78C0D931-6437-407d-A8EE-F0AAD7539E65}">
      <x14:conditionalFormattings>
        <x14:conditionalFormatting xmlns:xm="http://schemas.microsoft.com/office/excel/2006/main">
          <x14:cfRule type="expression" priority="52" id="{074122E9-B25B-47E2-9727-2EAB10277E85}">
            <xm:f>'Allgemeine Angaben'!$D$7="kzp"</xm:f>
            <x14:dxf>
              <font>
                <color theme="0"/>
              </font>
              <fill>
                <patternFill>
                  <fgColor theme="0"/>
                  <bgColor theme="0"/>
                </patternFill>
              </fill>
              <border>
                <left/>
                <right/>
                <bottom/>
                <vertical/>
                <horizontal/>
              </border>
            </x14:dxf>
          </x14:cfRule>
          <x14:cfRule type="expression" priority="55" id="{B76BB2F1-06D1-44A0-8EA3-3294A0622347}">
            <xm:f>'Allgemeine Angaben'!$D$7="tst"</xm:f>
            <x14:dxf>
              <font>
                <color theme="0"/>
              </font>
              <fill>
                <patternFill>
                  <bgColor theme="0"/>
                </patternFill>
              </fill>
              <border>
                <left/>
                <right/>
                <bottom/>
                <vertical/>
                <horizontal/>
              </border>
            </x14:dxf>
          </x14:cfRule>
          <xm:sqref>C12:P12 B48:P48 B49:R49</xm:sqref>
        </x14:conditionalFormatting>
        <x14:conditionalFormatting xmlns:xm="http://schemas.microsoft.com/office/excel/2006/main">
          <x14:cfRule type="expression" priority="3" id="{BA52BD0A-4FDD-4579-858B-44C3A2B68CC7}">
            <xm:f>'Allgemeine Angaben'!$L$48&gt;0</xm:f>
            <x14: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x14:dxf>
          </x14:cfRule>
          <xm:sqref>H53</xm:sqref>
        </x14:conditionalFormatting>
        <x14:conditionalFormatting xmlns:xm="http://schemas.microsoft.com/office/excel/2006/main">
          <x14:cfRule type="expression" priority="1" id="{7BE071F2-463B-43C5-A181-925BB560556F}">
            <xm:f>'Allgemeine Angaben'!$D$7="tst"</xm:f>
            <x14:dxf>
              <font>
                <color theme="0"/>
              </font>
              <fill>
                <patternFill>
                  <bgColor theme="0"/>
                </patternFill>
              </fill>
              <border>
                <left/>
                <right/>
                <top/>
                <bottom/>
                <vertical/>
                <horizontal/>
              </border>
            </x14:dxf>
          </x14:cfRule>
          <xm:sqref>H56:P56</xm:sqref>
        </x14:conditionalFormatting>
        <x14:conditionalFormatting xmlns:xm="http://schemas.microsoft.com/office/excel/2006/main">
          <x14:cfRule type="expression" priority="2" id="{233FCF2A-E80E-4840-96BA-A419F5030BC6}">
            <xm:f>'Allgemeine Angaben'!$L$48&gt;0</xm:f>
            <x14: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x14:dxf>
          </x14:cfRule>
          <xm:sqref>J53</xm:sqref>
        </x14:conditionalFormatting>
        <x14:conditionalFormatting xmlns:xm="http://schemas.microsoft.com/office/excel/2006/main">
          <x14:cfRule type="expression" priority="5" id="{9331D945-CFC1-4957-A25C-808E88B3E5B7}">
            <xm:f>'Allgemeine Angaben'!$L$48&gt;0</xm:f>
            <x14: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x14:dxf>
          </x14:cfRule>
          <xm:sqref>L53</xm:sqref>
        </x14:conditionalFormatting>
        <x14:conditionalFormatting xmlns:xm="http://schemas.microsoft.com/office/excel/2006/main">
          <x14:cfRule type="expression" priority="10" id="{17A60CE8-74DF-42F0-A6AA-A3A7CFB5AAD0}">
            <xm:f>'Allgemeine Angaben'!$L$48&gt;0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N53</xm:sqref>
        </x14:conditionalFormatting>
        <x14:conditionalFormatting xmlns:xm="http://schemas.microsoft.com/office/excel/2006/main">
          <x14:cfRule type="expression" priority="9" id="{740B77BE-7129-4761-ADE8-D1AFE7D12FC4}">
            <xm:f>'Allgemeine Angaben'!$L$48&gt;0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P53</xm:sqref>
        </x14:conditionalFormatting>
        <x14:conditionalFormatting xmlns:xm="http://schemas.microsoft.com/office/excel/2006/main">
          <x14:cfRule type="expression" priority="56" id="{0566DA16-5EBC-4792-A482-DB323D7D639D}">
            <xm:f>'Allgemeine Angaben'!$D$7="kzp"</xm:f>
            <x14:dxf>
              <font>
                <color theme="0"/>
              </font>
            </x14:dxf>
          </x14:cfRule>
          <x14:cfRule type="expression" priority="59" id="{07C8E480-9846-495D-94E5-811CD282BFFC}">
            <xm:f>'Allgemeine Angaben'!$D$7="tst"</xm:f>
            <x14:dxf>
              <font>
                <color theme="0"/>
              </font>
              <fill>
                <patternFill>
                  <bgColor theme="0"/>
                </patternFill>
              </fill>
              <border>
                <left/>
                <right/>
                <top/>
                <bottom/>
                <vertical/>
                <horizontal/>
              </border>
            </x14:dxf>
          </x14:cfRule>
          <xm:sqref>R49</xm:sqref>
        </x14:conditionalFormatting>
        <x14:conditionalFormatting xmlns:xm="http://schemas.microsoft.com/office/excel/2006/main">
          <x14:cfRule type="expression" priority="8" id="{30F6EB2A-7C14-4981-B0F8-BC6A1F2D2F71}">
            <xm:f>'Allgemeine Angaben'!$L$48&gt;0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R53</xm:sqref>
        </x14:conditionalFormatting>
        <x14:conditionalFormatting xmlns:xm="http://schemas.microsoft.com/office/excel/2006/main">
          <x14:cfRule type="expression" priority="7" id="{D95CADF1-7908-4F25-A6C6-114B81B4FEC0}">
            <xm:f>'Allgemeine Angaben'!$L$48&gt;0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T53</xm:sqref>
        </x14:conditionalFormatting>
        <x14:conditionalFormatting xmlns:xm="http://schemas.microsoft.com/office/excel/2006/main">
          <x14:cfRule type="expression" priority="6" id="{3A214EB9-4696-48AF-9F62-C67D35E58EAF}">
            <xm:f>'Allgemeine Angaben'!$L$48&gt;0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V53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64"/>
  <sheetViews>
    <sheetView showGridLines="0" zoomScaleNormal="100" workbookViewId="0">
      <selection activeCell="A3" sqref="A3:N3"/>
    </sheetView>
  </sheetViews>
  <sheetFormatPr baseColWidth="10" defaultRowHeight="14.25"/>
  <cols>
    <col min="1" max="2" width="3.625" style="1127" customWidth="1"/>
    <col min="3" max="3" width="3.25" style="1127" customWidth="1"/>
    <col min="4" max="4" width="3.125" style="1127" customWidth="1"/>
    <col min="5" max="5" width="3.5" style="1127" customWidth="1"/>
    <col min="6" max="6" width="11" style="1127"/>
    <col min="7" max="7" width="3.125" style="1127" customWidth="1"/>
    <col min="8" max="8" width="3.5" style="1127" customWidth="1"/>
    <col min="9" max="9" width="11" style="1127"/>
    <col min="10" max="10" width="11.875" style="1127" customWidth="1"/>
    <col min="11" max="11" width="3.125" style="1127" customWidth="1"/>
    <col min="12" max="12" width="17.75" style="1127" customWidth="1"/>
    <col min="13" max="13" width="18.875" style="1127" customWidth="1"/>
    <col min="14" max="14" width="4" style="1127" customWidth="1"/>
  </cols>
  <sheetData>
    <row r="1" spans="1:17" ht="15.75">
      <c r="A1" s="1554" t="s">
        <v>581</v>
      </c>
      <c r="B1" s="1555"/>
      <c r="C1" s="1555"/>
      <c r="D1" s="1555"/>
      <c r="E1" s="1555"/>
      <c r="F1" s="1555"/>
      <c r="G1" s="1555"/>
      <c r="H1" s="1555"/>
      <c r="I1" s="1555"/>
      <c r="J1" s="1555"/>
      <c r="K1" s="1555"/>
      <c r="L1" s="1555"/>
      <c r="M1" s="1555"/>
      <c r="N1" s="1556"/>
      <c r="O1" s="587"/>
    </row>
    <row r="2" spans="1:17" ht="15">
      <c r="A2" s="1557" t="s">
        <v>582</v>
      </c>
      <c r="B2" s="1558"/>
      <c r="C2" s="1558"/>
      <c r="D2" s="1558"/>
      <c r="E2" s="1558"/>
      <c r="F2" s="1558"/>
      <c r="G2" s="1558"/>
      <c r="H2" s="1558"/>
      <c r="I2" s="1558"/>
      <c r="J2" s="1558"/>
      <c r="K2" s="1558"/>
      <c r="L2" s="1558"/>
      <c r="M2" s="1558"/>
      <c r="N2" s="1559"/>
      <c r="O2" s="446"/>
    </row>
    <row r="3" spans="1:17" ht="15.75">
      <c r="A3" s="1560" t="str">
        <f>'Allgemeine Angaben'!A3:N3</f>
        <v/>
      </c>
      <c r="B3" s="1561"/>
      <c r="C3" s="1561"/>
      <c r="D3" s="1561"/>
      <c r="E3" s="1561"/>
      <c r="F3" s="1561"/>
      <c r="G3" s="1561"/>
      <c r="H3" s="1561"/>
      <c r="I3" s="1561"/>
      <c r="J3" s="1561"/>
      <c r="K3" s="1561"/>
      <c r="L3" s="1561"/>
      <c r="M3" s="1561"/>
      <c r="N3" s="1562"/>
    </row>
    <row r="4" spans="1:17" ht="15.75">
      <c r="A4" s="1560" t="str">
        <f>'Allgemeine Angaben'!A4</f>
        <v/>
      </c>
      <c r="B4" s="1561"/>
      <c r="C4" s="1561"/>
      <c r="D4" s="1561"/>
      <c r="E4" s="1561"/>
      <c r="F4" s="1561"/>
      <c r="G4" s="1561"/>
      <c r="H4" s="1561"/>
      <c r="I4" s="1561"/>
      <c r="J4" s="1561"/>
      <c r="K4" s="1561"/>
      <c r="L4" s="1561"/>
      <c r="M4" s="1561"/>
      <c r="N4" s="1562"/>
      <c r="O4" s="470"/>
      <c r="Q4" s="446"/>
    </row>
    <row r="5" spans="1:17" ht="16.5" thickBot="1">
      <c r="A5" s="1125"/>
      <c r="B5" s="1126"/>
      <c r="N5" s="1128"/>
      <c r="O5" s="1127"/>
      <c r="Q5" s="446"/>
    </row>
    <row r="6" spans="1:17" s="1131" customFormat="1" ht="16.5" thickBot="1">
      <c r="A6" s="1129"/>
      <c r="B6" s="1563" t="s">
        <v>583</v>
      </c>
      <c r="C6" s="1563"/>
      <c r="D6" s="1563"/>
      <c r="E6" s="1563"/>
      <c r="F6" s="1563"/>
      <c r="G6" s="1564"/>
      <c r="H6" s="1130"/>
      <c r="J6" s="1126"/>
      <c r="K6" s="1130"/>
      <c r="L6" s="1565" t="s">
        <v>584</v>
      </c>
      <c r="M6" s="1563"/>
      <c r="N6" s="1132"/>
      <c r="Q6" s="1133"/>
    </row>
    <row r="7" spans="1:17" ht="14.25" customHeight="1">
      <c r="A7" s="1125"/>
      <c r="N7" s="1128"/>
      <c r="O7" s="1127"/>
    </row>
    <row r="8" spans="1:17" ht="27" customHeight="1">
      <c r="A8" s="1125"/>
      <c r="B8" s="1566" t="s">
        <v>585</v>
      </c>
      <c r="C8" s="1566"/>
      <c r="D8" s="1566"/>
      <c r="E8" s="1566"/>
      <c r="F8" s="1566"/>
      <c r="G8" s="1566"/>
      <c r="H8" s="1566"/>
      <c r="I8" s="1566"/>
      <c r="J8" s="1566"/>
      <c r="K8" s="1566"/>
      <c r="L8" s="1566"/>
      <c r="M8" s="1566"/>
      <c r="N8" s="1128"/>
      <c r="O8" s="1127"/>
    </row>
    <row r="9" spans="1:17" ht="15.75">
      <c r="A9" s="1125"/>
      <c r="B9" s="1134"/>
      <c r="N9" s="1128"/>
      <c r="O9" s="1127"/>
      <c r="Q9" s="1135"/>
    </row>
    <row r="10" spans="1:17" s="1131" customFormat="1" ht="15">
      <c r="A10" s="1136"/>
      <c r="B10" s="1137" t="s">
        <v>586</v>
      </c>
      <c r="C10" s="1137" t="s">
        <v>587</v>
      </c>
      <c r="D10" s="1137"/>
      <c r="E10" s="1137"/>
      <c r="F10" s="1137"/>
      <c r="G10" s="1137"/>
      <c r="I10" s="1137"/>
      <c r="J10" s="1137"/>
      <c r="N10" s="1138"/>
    </row>
    <row r="11" spans="1:17" ht="12.75" customHeight="1" thickBot="1">
      <c r="A11" s="1125"/>
      <c r="B11" s="1134"/>
      <c r="N11" s="1128"/>
      <c r="O11" s="1127"/>
    </row>
    <row r="12" spans="1:17" ht="16.5" thickBot="1">
      <c r="A12" s="1125"/>
      <c r="D12" s="1139"/>
      <c r="F12" s="1126" t="s">
        <v>588</v>
      </c>
      <c r="G12" s="1135"/>
      <c r="H12" s="1135"/>
      <c r="I12" s="1135"/>
      <c r="N12" s="1128"/>
      <c r="O12" s="1127"/>
    </row>
    <row r="13" spans="1:17" ht="15">
      <c r="A13" s="1125"/>
      <c r="F13" s="1137" t="s">
        <v>589</v>
      </c>
      <c r="G13" s="1140"/>
      <c r="H13" s="1140"/>
      <c r="I13" s="1140"/>
      <c r="J13" s="1140"/>
      <c r="K13" s="1140"/>
      <c r="N13" s="1128"/>
      <c r="O13" s="1127"/>
    </row>
    <row r="14" spans="1:17" ht="12.75" customHeight="1" thickBot="1">
      <c r="A14" s="1125"/>
      <c r="F14" s="1140"/>
      <c r="G14" s="1140"/>
      <c r="H14" s="1140"/>
      <c r="I14" s="1140"/>
      <c r="J14" s="1140"/>
      <c r="K14" s="1140"/>
      <c r="N14" s="1128"/>
      <c r="O14" s="1127"/>
    </row>
    <row r="15" spans="1:17" ht="16.5" thickBot="1">
      <c r="A15" s="1125"/>
      <c r="D15" s="1139"/>
      <c r="F15" s="1126" t="s">
        <v>590</v>
      </c>
      <c r="G15" s="1135"/>
      <c r="H15" s="1135"/>
      <c r="I15" s="1135"/>
      <c r="N15" s="1128"/>
      <c r="O15" s="1127"/>
    </row>
    <row r="16" spans="1:17" ht="15">
      <c r="A16" s="1125"/>
      <c r="F16" s="1137" t="s">
        <v>591</v>
      </c>
      <c r="N16" s="1128"/>
      <c r="O16" s="1127"/>
    </row>
    <row r="17" spans="1:15">
      <c r="A17" s="1125"/>
      <c r="F17" s="1140"/>
      <c r="N17" s="1128"/>
      <c r="O17" s="1127"/>
    </row>
    <row r="18" spans="1:15" s="1131" customFormat="1" ht="15">
      <c r="A18" s="1136"/>
      <c r="B18" s="1137" t="s">
        <v>592</v>
      </c>
      <c r="C18" s="1137" t="s">
        <v>593</v>
      </c>
      <c r="D18" s="1137"/>
      <c r="E18" s="1137"/>
      <c r="F18" s="1137"/>
      <c r="G18" s="1137"/>
      <c r="H18" s="1137"/>
      <c r="I18" s="1137"/>
      <c r="J18" s="1137"/>
      <c r="L18" s="1137"/>
      <c r="M18" s="1137"/>
      <c r="N18" s="1141"/>
    </row>
    <row r="19" spans="1:15" ht="12.75" customHeight="1" thickBot="1">
      <c r="A19" s="1125"/>
      <c r="C19" s="1135"/>
      <c r="D19" s="1135"/>
      <c r="E19" s="1135"/>
      <c r="F19" s="1135"/>
      <c r="G19" s="1135"/>
      <c r="H19" s="1135"/>
      <c r="I19" s="1135"/>
      <c r="J19" s="1135"/>
      <c r="K19" s="1135"/>
      <c r="L19" s="1135"/>
      <c r="M19" s="1135"/>
      <c r="N19" s="1142"/>
      <c r="O19" s="1127"/>
    </row>
    <row r="20" spans="1:15" ht="15" thickBot="1">
      <c r="A20" s="1125"/>
      <c r="C20" s="1135"/>
      <c r="D20" s="1143"/>
      <c r="E20" s="21"/>
      <c r="F20" s="1567" t="s">
        <v>594</v>
      </c>
      <c r="G20" s="1567"/>
      <c r="H20" s="1567"/>
      <c r="I20" s="1567"/>
      <c r="J20" s="1567"/>
      <c r="K20" s="1567"/>
      <c r="L20" s="1567"/>
      <c r="M20" s="1144"/>
      <c r="N20" s="1145"/>
      <c r="O20" s="1127"/>
    </row>
    <row r="21" spans="1:15">
      <c r="A21" s="1125"/>
      <c r="C21" s="1135"/>
      <c r="D21" s="21"/>
      <c r="E21" s="21"/>
      <c r="F21" s="1146" t="s">
        <v>595</v>
      </c>
      <c r="G21" s="1146"/>
      <c r="H21" s="1146"/>
      <c r="I21" s="1146"/>
      <c r="J21" s="1146"/>
      <c r="K21" s="1146"/>
      <c r="L21" s="1146"/>
      <c r="M21" s="1144"/>
      <c r="N21" s="1145"/>
      <c r="O21" s="1147"/>
    </row>
    <row r="22" spans="1:15">
      <c r="A22" s="1125"/>
      <c r="C22" s="1135"/>
      <c r="D22" s="21"/>
      <c r="E22" s="21"/>
      <c r="F22" s="1567"/>
      <c r="G22" s="1567"/>
      <c r="H22" s="1567"/>
      <c r="I22" s="1567"/>
      <c r="J22" s="1567"/>
      <c r="K22" s="1567"/>
      <c r="L22" s="1567"/>
      <c r="M22" s="1144"/>
      <c r="N22" s="1145"/>
      <c r="O22" s="1127"/>
    </row>
    <row r="23" spans="1:15" ht="12.75" customHeight="1" thickBot="1">
      <c r="A23" s="1125"/>
      <c r="C23" s="1135"/>
      <c r="D23" s="21"/>
      <c r="E23" s="21"/>
      <c r="F23" s="21"/>
      <c r="G23" s="21"/>
      <c r="H23" s="21"/>
      <c r="I23" s="21"/>
      <c r="J23" s="21"/>
      <c r="K23" s="21"/>
      <c r="L23" s="21"/>
      <c r="M23" s="21"/>
      <c r="N23" s="108"/>
      <c r="O23" s="1127"/>
    </row>
    <row r="24" spans="1:15" ht="15" thickBot="1">
      <c r="A24" s="1125"/>
      <c r="C24" s="1135"/>
      <c r="D24" s="1143"/>
      <c r="E24" s="21"/>
      <c r="F24" s="1568" t="s">
        <v>596</v>
      </c>
      <c r="G24" s="1568"/>
      <c r="H24" s="1568"/>
      <c r="I24" s="1568"/>
      <c r="J24" s="1568"/>
      <c r="K24" s="1568"/>
      <c r="L24" s="1568"/>
      <c r="M24" s="1148"/>
      <c r="N24" s="1149"/>
      <c r="O24" s="286"/>
    </row>
    <row r="25" spans="1:15">
      <c r="A25" s="1125"/>
      <c r="C25" s="1135"/>
      <c r="D25" s="21"/>
      <c r="E25" s="21"/>
      <c r="F25" s="21" t="s">
        <v>597</v>
      </c>
      <c r="G25" s="21"/>
      <c r="H25" s="21"/>
      <c r="I25" s="21"/>
      <c r="J25" s="21"/>
      <c r="K25" s="21"/>
      <c r="L25" s="21"/>
      <c r="M25" s="1148"/>
      <c r="N25" s="1149"/>
      <c r="O25" s="1127"/>
    </row>
    <row r="26" spans="1:15">
      <c r="A26" s="1125"/>
      <c r="C26" s="1135"/>
      <c r="D26" s="21"/>
      <c r="E26" s="21"/>
      <c r="F26" s="1568"/>
      <c r="G26" s="1568"/>
      <c r="H26" s="1568"/>
      <c r="I26" s="1568"/>
      <c r="J26" s="1568"/>
      <c r="K26" s="1568"/>
      <c r="L26" s="1568"/>
      <c r="M26" s="1148"/>
      <c r="N26" s="1149"/>
      <c r="O26" s="1127"/>
    </row>
    <row r="27" spans="1:15" ht="14.85" customHeight="1">
      <c r="A27" s="1150"/>
      <c r="B27" s="1151"/>
      <c r="C27" s="1152"/>
      <c r="D27" s="1153"/>
      <c r="E27" s="1153"/>
      <c r="F27" s="1153"/>
      <c r="G27" s="1153"/>
      <c r="H27" s="1153"/>
      <c r="I27" s="1153"/>
      <c r="J27" s="1153"/>
      <c r="K27" s="1153"/>
      <c r="L27" s="1153"/>
      <c r="M27" s="1153"/>
      <c r="N27" s="1154"/>
      <c r="O27" s="1127"/>
    </row>
    <row r="28" spans="1:15" ht="14.85" customHeight="1">
      <c r="A28" s="1125"/>
      <c r="C28" s="1135"/>
      <c r="D28" s="21"/>
      <c r="E28" s="21"/>
      <c r="F28" s="21"/>
      <c r="G28" s="21"/>
      <c r="H28" s="21"/>
      <c r="I28" s="21"/>
      <c r="J28" s="21"/>
      <c r="K28" s="21"/>
      <c r="L28" s="21"/>
      <c r="M28" s="21"/>
      <c r="N28" s="108"/>
      <c r="O28" s="1127"/>
    </row>
    <row r="29" spans="1:15" s="1131" customFormat="1" ht="15">
      <c r="A29" s="1136"/>
      <c r="B29" s="1137" t="s">
        <v>598</v>
      </c>
      <c r="C29" s="1137" t="s">
        <v>599</v>
      </c>
      <c r="D29" s="1137"/>
      <c r="E29" s="1137"/>
      <c r="F29" s="1137"/>
      <c r="G29" s="1137"/>
      <c r="H29" s="1137"/>
      <c r="I29" s="1137"/>
      <c r="J29" s="1137"/>
      <c r="L29" s="1137"/>
      <c r="M29" s="1137"/>
      <c r="N29" s="1141"/>
    </row>
    <row r="30" spans="1:15" ht="12.75" customHeight="1">
      <c r="A30" s="1125"/>
      <c r="C30" s="1135"/>
      <c r="D30" s="21"/>
      <c r="E30" s="21"/>
      <c r="F30" s="21"/>
      <c r="G30" s="21"/>
      <c r="H30" s="21"/>
      <c r="I30" s="21"/>
      <c r="J30" s="21"/>
      <c r="K30" s="21"/>
      <c r="L30" s="21"/>
      <c r="M30" s="21"/>
      <c r="N30" s="108"/>
      <c r="O30" s="1127"/>
    </row>
    <row r="31" spans="1:15">
      <c r="A31" s="1125"/>
      <c r="B31" t="s">
        <v>600</v>
      </c>
      <c r="N31" s="1128"/>
      <c r="O31" s="1127"/>
    </row>
    <row r="32" spans="1:15">
      <c r="A32" s="1125"/>
      <c r="B32" s="1135" t="s">
        <v>601</v>
      </c>
      <c r="N32" s="1128"/>
      <c r="O32" s="1127"/>
    </row>
    <row r="33" spans="1:15">
      <c r="A33" s="1125"/>
      <c r="B33" s="1135" t="s">
        <v>602</v>
      </c>
      <c r="N33" s="1128"/>
      <c r="O33" s="1127"/>
    </row>
    <row r="34" spans="1:15">
      <c r="A34" s="1125"/>
      <c r="B34" s="1135" t="s">
        <v>603</v>
      </c>
      <c r="N34" s="1128"/>
      <c r="O34" s="1127"/>
    </row>
    <row r="35" spans="1:15">
      <c r="A35" s="1125"/>
      <c r="B35" s="1135" t="s">
        <v>604</v>
      </c>
      <c r="N35" s="1128"/>
      <c r="O35" s="1127"/>
    </row>
    <row r="36" spans="1:15">
      <c r="A36" s="1125"/>
      <c r="B36"/>
      <c r="N36" s="1128"/>
      <c r="O36" s="1127"/>
    </row>
    <row r="37" spans="1:15">
      <c r="A37" s="1125"/>
      <c r="B37" s="1135" t="s">
        <v>605</v>
      </c>
      <c r="C37" s="1135"/>
      <c r="D37" s="1135"/>
      <c r="E37" s="1135"/>
      <c r="F37" s="1135"/>
      <c r="G37" s="1135"/>
      <c r="H37" s="1135"/>
      <c r="I37" s="1135"/>
      <c r="J37" s="1135"/>
      <c r="K37" s="1135"/>
      <c r="L37" s="1135"/>
      <c r="M37" s="1135"/>
      <c r="N37" s="1128"/>
      <c r="O37" s="1127"/>
    </row>
    <row r="38" spans="1:15">
      <c r="A38" s="1125"/>
      <c r="B38" s="1552"/>
      <c r="C38" s="1553"/>
      <c r="D38" s="1553"/>
      <c r="E38" s="1553"/>
      <c r="F38" s="1553"/>
      <c r="G38" s="1553"/>
      <c r="H38" s="1553"/>
      <c r="I38" s="1553"/>
      <c r="J38" s="1553"/>
      <c r="K38" s="1553"/>
      <c r="L38" s="1553"/>
      <c r="M38" s="1553"/>
      <c r="N38" s="1128"/>
      <c r="O38" s="470"/>
    </row>
    <row r="39" spans="1:15">
      <c r="A39" s="1125"/>
      <c r="B39" s="1553"/>
      <c r="C39" s="1553"/>
      <c r="D39" s="1553"/>
      <c r="E39" s="1553"/>
      <c r="F39" s="1553"/>
      <c r="G39" s="1553"/>
      <c r="H39" s="1553"/>
      <c r="I39" s="1553"/>
      <c r="J39" s="1553"/>
      <c r="K39" s="1553"/>
      <c r="L39" s="1553"/>
      <c r="M39" s="1553"/>
      <c r="N39" s="1128"/>
      <c r="O39" s="1127"/>
    </row>
    <row r="40" spans="1:15">
      <c r="A40" s="1125"/>
      <c r="B40" s="1553"/>
      <c r="C40" s="1553"/>
      <c r="D40" s="1553"/>
      <c r="E40" s="1553"/>
      <c r="F40" s="1553"/>
      <c r="G40" s="1553"/>
      <c r="H40" s="1553"/>
      <c r="I40" s="1553"/>
      <c r="J40" s="1553"/>
      <c r="K40" s="1553"/>
      <c r="L40" s="1553"/>
      <c r="M40" s="1553"/>
      <c r="N40" s="1128"/>
      <c r="O40" s="1127"/>
    </row>
    <row r="41" spans="1:15">
      <c r="A41" s="1125"/>
      <c r="B41" s="1553"/>
      <c r="C41" s="1553"/>
      <c r="D41" s="1553"/>
      <c r="E41" s="1553"/>
      <c r="F41" s="1553"/>
      <c r="G41" s="1553"/>
      <c r="H41" s="1553"/>
      <c r="I41" s="1553"/>
      <c r="J41" s="1553"/>
      <c r="K41" s="1553"/>
      <c r="L41" s="1553"/>
      <c r="M41" s="1553"/>
      <c r="N41" s="1128"/>
      <c r="O41" s="1127"/>
    </row>
    <row r="42" spans="1:15">
      <c r="A42" s="1125"/>
      <c r="B42" s="1553"/>
      <c r="C42" s="1553"/>
      <c r="D42" s="1553"/>
      <c r="E42" s="1553"/>
      <c r="F42" s="1553"/>
      <c r="G42" s="1553"/>
      <c r="H42" s="1553"/>
      <c r="I42" s="1553"/>
      <c r="J42" s="1553"/>
      <c r="K42" s="1553"/>
      <c r="L42" s="1553"/>
      <c r="M42" s="1553"/>
      <c r="N42" s="1128"/>
      <c r="O42" s="1127"/>
    </row>
    <row r="43" spans="1:15">
      <c r="A43" s="1125"/>
      <c r="B43" s="1553"/>
      <c r="C43" s="1553"/>
      <c r="D43" s="1553"/>
      <c r="E43" s="1553"/>
      <c r="F43" s="1553"/>
      <c r="G43" s="1553"/>
      <c r="H43" s="1553"/>
      <c r="I43" s="1553"/>
      <c r="J43" s="1553"/>
      <c r="K43" s="1553"/>
      <c r="L43" s="1553"/>
      <c r="M43" s="1553"/>
      <c r="N43" s="1128"/>
      <c r="O43" s="1127"/>
    </row>
    <row r="44" spans="1:15">
      <c r="A44" s="1125"/>
      <c r="B44" s="1553"/>
      <c r="C44" s="1553"/>
      <c r="D44" s="1553"/>
      <c r="E44" s="1553"/>
      <c r="F44" s="1553"/>
      <c r="G44" s="1553"/>
      <c r="H44" s="1553"/>
      <c r="I44" s="1553"/>
      <c r="J44" s="1553"/>
      <c r="K44" s="1553"/>
      <c r="L44" s="1553"/>
      <c r="M44" s="1553"/>
      <c r="N44" s="1128"/>
      <c r="O44" s="1127"/>
    </row>
    <row r="45" spans="1:15">
      <c r="A45" s="1125"/>
      <c r="B45" s="1553"/>
      <c r="C45" s="1553"/>
      <c r="D45" s="1553"/>
      <c r="E45" s="1553"/>
      <c r="F45" s="1553"/>
      <c r="G45" s="1553"/>
      <c r="H45" s="1553"/>
      <c r="I45" s="1553"/>
      <c r="J45" s="1553"/>
      <c r="K45" s="1553"/>
      <c r="L45" s="1553"/>
      <c r="M45" s="1553"/>
      <c r="N45" s="1128"/>
      <c r="O45" s="1127"/>
    </row>
    <row r="46" spans="1:15">
      <c r="A46" s="1125"/>
      <c r="B46" s="1553"/>
      <c r="C46" s="1553"/>
      <c r="D46" s="1553"/>
      <c r="E46" s="1553"/>
      <c r="F46" s="1553"/>
      <c r="G46" s="1553"/>
      <c r="H46" s="1553"/>
      <c r="I46" s="1553"/>
      <c r="J46" s="1553"/>
      <c r="K46" s="1553"/>
      <c r="L46" s="1553"/>
      <c r="M46" s="1553"/>
      <c r="N46" s="1128"/>
      <c r="O46" s="1127"/>
    </row>
    <row r="47" spans="1:15">
      <c r="A47" s="1125"/>
      <c r="B47" s="1553"/>
      <c r="C47" s="1553"/>
      <c r="D47" s="1553"/>
      <c r="E47" s="1553"/>
      <c r="F47" s="1553"/>
      <c r="G47" s="1553"/>
      <c r="H47" s="1553"/>
      <c r="I47" s="1553"/>
      <c r="J47" s="1553"/>
      <c r="K47" s="1553"/>
      <c r="L47" s="1553"/>
      <c r="M47" s="1553"/>
      <c r="N47" s="1128"/>
      <c r="O47" s="1127"/>
    </row>
    <row r="48" spans="1:15">
      <c r="A48" s="1125"/>
      <c r="B48" s="1553"/>
      <c r="C48" s="1553"/>
      <c r="D48" s="1553"/>
      <c r="E48" s="1553"/>
      <c r="F48" s="1553"/>
      <c r="G48" s="1553"/>
      <c r="H48" s="1553"/>
      <c r="I48" s="1553"/>
      <c r="J48" s="1553"/>
      <c r="K48" s="1553"/>
      <c r="L48" s="1553"/>
      <c r="M48" s="1553"/>
      <c r="N48" s="1128"/>
      <c r="O48" s="1127"/>
    </row>
    <row r="49" spans="1:15">
      <c r="A49" s="1125"/>
      <c r="B49" s="1553"/>
      <c r="C49" s="1553"/>
      <c r="D49" s="1553"/>
      <c r="E49" s="1553"/>
      <c r="F49" s="1553"/>
      <c r="G49" s="1553"/>
      <c r="H49" s="1553"/>
      <c r="I49" s="1553"/>
      <c r="J49" s="1553"/>
      <c r="K49" s="1553"/>
      <c r="L49" s="1553"/>
      <c r="M49" s="1553"/>
      <c r="N49" s="1128"/>
      <c r="O49" s="1127"/>
    </row>
    <row r="50" spans="1:15">
      <c r="A50" s="1125"/>
      <c r="B50" s="1553"/>
      <c r="C50" s="1553"/>
      <c r="D50" s="1553"/>
      <c r="E50" s="1553"/>
      <c r="F50" s="1553"/>
      <c r="G50" s="1553"/>
      <c r="H50" s="1553"/>
      <c r="I50" s="1553"/>
      <c r="J50" s="1553"/>
      <c r="K50" s="1553"/>
      <c r="L50" s="1553"/>
      <c r="M50" s="1553"/>
      <c r="N50" s="1128"/>
      <c r="O50" s="1127"/>
    </row>
    <row r="51" spans="1:15">
      <c r="A51" s="1125"/>
      <c r="B51" s="1553"/>
      <c r="C51" s="1553"/>
      <c r="D51" s="1553"/>
      <c r="E51" s="1553"/>
      <c r="F51" s="1553"/>
      <c r="G51" s="1553"/>
      <c r="H51" s="1553"/>
      <c r="I51" s="1553"/>
      <c r="J51" s="1553"/>
      <c r="K51" s="1553"/>
      <c r="L51" s="1553"/>
      <c r="M51" s="1553"/>
      <c r="N51" s="1128"/>
      <c r="O51" s="1127"/>
    </row>
    <row r="52" spans="1:15">
      <c r="A52" s="1125"/>
      <c r="B52" s="1553"/>
      <c r="C52" s="1553"/>
      <c r="D52" s="1553"/>
      <c r="E52" s="1553"/>
      <c r="F52" s="1553"/>
      <c r="G52" s="1553"/>
      <c r="H52" s="1553"/>
      <c r="I52" s="1553"/>
      <c r="J52" s="1553"/>
      <c r="K52" s="1553"/>
      <c r="L52" s="1553"/>
      <c r="M52" s="1553"/>
      <c r="N52" s="1128"/>
      <c r="O52" s="1127"/>
    </row>
    <row r="53" spans="1:15">
      <c r="A53" s="1125"/>
      <c r="B53" s="1553"/>
      <c r="C53" s="1553"/>
      <c r="D53" s="1553"/>
      <c r="E53" s="1553"/>
      <c r="F53" s="1553"/>
      <c r="G53" s="1553"/>
      <c r="H53" s="1553"/>
      <c r="I53" s="1553"/>
      <c r="J53" s="1553"/>
      <c r="K53" s="1553"/>
      <c r="L53" s="1553"/>
      <c r="M53" s="1553"/>
      <c r="N53" s="1128"/>
      <c r="O53" s="1127"/>
    </row>
    <row r="54" spans="1:15">
      <c r="A54" s="1125"/>
      <c r="B54" s="1553"/>
      <c r="C54" s="1553"/>
      <c r="D54" s="1553"/>
      <c r="E54" s="1553"/>
      <c r="F54" s="1553"/>
      <c r="G54" s="1553"/>
      <c r="H54" s="1553"/>
      <c r="I54" s="1553"/>
      <c r="J54" s="1553"/>
      <c r="K54" s="1553"/>
      <c r="L54" s="1553"/>
      <c r="M54" s="1553"/>
      <c r="N54" s="1128"/>
      <c r="O54" s="1127"/>
    </row>
    <row r="55" spans="1:15">
      <c r="A55" s="1125"/>
      <c r="B55" s="1553"/>
      <c r="C55" s="1553"/>
      <c r="D55" s="1553"/>
      <c r="E55" s="1553"/>
      <c r="F55" s="1553"/>
      <c r="G55" s="1553"/>
      <c r="H55" s="1553"/>
      <c r="I55" s="1553"/>
      <c r="J55" s="1553"/>
      <c r="K55" s="1553"/>
      <c r="L55" s="1553"/>
      <c r="M55" s="1553"/>
      <c r="N55" s="1128"/>
      <c r="O55" s="1127"/>
    </row>
    <row r="56" spans="1:15">
      <c r="A56" s="1125"/>
      <c r="B56" s="1553"/>
      <c r="C56" s="1553"/>
      <c r="D56" s="1553"/>
      <c r="E56" s="1553"/>
      <c r="F56" s="1553"/>
      <c r="G56" s="1553"/>
      <c r="H56" s="1553"/>
      <c r="I56" s="1553"/>
      <c r="J56" s="1553"/>
      <c r="K56" s="1553"/>
      <c r="L56" s="1553"/>
      <c r="M56" s="1553"/>
      <c r="N56" s="1128"/>
      <c r="O56" s="1127"/>
    </row>
    <row r="57" spans="1:15">
      <c r="A57" s="1125"/>
      <c r="N57" s="1128"/>
      <c r="O57" s="1127"/>
    </row>
    <row r="58" spans="1:15">
      <c r="A58" s="1125"/>
      <c r="N58" s="1128"/>
      <c r="O58" s="1127"/>
    </row>
    <row r="59" spans="1:15">
      <c r="A59" s="1125"/>
      <c r="J59" s="1548"/>
      <c r="K59" s="1548"/>
      <c r="L59" s="1548"/>
      <c r="M59" s="1155"/>
      <c r="N59" s="1128"/>
      <c r="O59" s="1127"/>
    </row>
    <row r="60" spans="1:15">
      <c r="A60" s="1125"/>
      <c r="I60" s="838"/>
      <c r="N60" s="1128"/>
      <c r="O60" s="1127"/>
    </row>
    <row r="61" spans="1:15">
      <c r="A61" s="1125"/>
      <c r="N61" s="1128"/>
      <c r="O61" s="1127"/>
    </row>
    <row r="62" spans="1:15">
      <c r="A62" s="1125"/>
      <c r="B62" s="1549"/>
      <c r="C62" s="1355"/>
      <c r="D62" s="1355"/>
      <c r="E62" s="1355"/>
      <c r="F62" s="1355"/>
      <c r="G62" s="1355"/>
      <c r="H62" s="1355"/>
      <c r="I62" s="1355"/>
      <c r="J62" s="1156"/>
      <c r="K62" s="1549"/>
      <c r="L62" s="1355"/>
      <c r="M62" s="1355"/>
      <c r="N62" s="1128"/>
      <c r="O62" s="1127"/>
    </row>
    <row r="63" spans="1:15">
      <c r="A63" s="1125"/>
      <c r="B63" s="1135" t="s">
        <v>606</v>
      </c>
      <c r="C63"/>
      <c r="D63"/>
      <c r="E63"/>
      <c r="F63"/>
      <c r="G63"/>
      <c r="H63"/>
      <c r="I63"/>
      <c r="J63"/>
      <c r="K63" s="1550" t="s">
        <v>607</v>
      </c>
      <c r="L63" s="1550"/>
      <c r="M63" s="1550"/>
      <c r="N63" s="1128"/>
      <c r="O63" s="1127"/>
    </row>
    <row r="64" spans="1:15">
      <c r="A64" s="1157"/>
      <c r="B64" s="1158"/>
      <c r="C64" s="1158"/>
      <c r="D64" s="1158"/>
      <c r="E64" s="1158"/>
      <c r="F64" s="1158"/>
      <c r="G64" s="1158"/>
      <c r="H64" s="1158"/>
      <c r="I64" s="1158"/>
      <c r="J64" s="1159"/>
      <c r="K64" s="1551" t="s">
        <v>608</v>
      </c>
      <c r="L64" s="1551"/>
      <c r="M64" s="1551"/>
      <c r="N64" s="1160"/>
      <c r="O64" s="1127"/>
    </row>
  </sheetData>
  <sheetProtection algorithmName="SHA-512" hashValue="x+tnVdh/peHf2R1B5BAaX6OEbzNXrPJFNG0QYPqpkj+2lJoTzyYNnn+OqSCU20jykVAnJ7LzQFMYorb8n4HB5Q==" saltValue="q1lGY2XCWQX7MHmXNm6h7Q==" spinCount="100000" sheet="1" objects="1" scenarios="1"/>
  <mergeCells count="17">
    <mergeCell ref="B38:M56"/>
    <mergeCell ref="A1:N1"/>
    <mergeCell ref="A2:N2"/>
    <mergeCell ref="A3:N3"/>
    <mergeCell ref="A4:N4"/>
    <mergeCell ref="B6:G6"/>
    <mergeCell ref="L6:M6"/>
    <mergeCell ref="B8:M8"/>
    <mergeCell ref="F20:L20"/>
    <mergeCell ref="F22:L22"/>
    <mergeCell ref="F24:L24"/>
    <mergeCell ref="F26:L26"/>
    <mergeCell ref="J59:L59"/>
    <mergeCell ref="B62:I62"/>
    <mergeCell ref="K62:M62"/>
    <mergeCell ref="K63:M63"/>
    <mergeCell ref="K64:M64"/>
  </mergeCells>
  <pageMargins left="0.70866141732283472" right="0.70866141732283472" top="0.78740157480314965" bottom="0.78740157480314965" header="0.31496062992125984" footer="0.31496062992125984"/>
  <pageSetup paperSize="9" scale="79" orientation="portrait"/>
  <headerFooter>
    <oddHeader>&amp;C&amp;9Bewohnervertretung</oddHeader>
    <oddFooter>&amp;L&amp;8Version: 21.11.2024&amp;C&amp;8Verhandlungsunterlagen TP/KZP SGB XI&amp;R&amp;8PSK vom 07.11.2024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pageSetUpPr fitToPage="1"/>
  </sheetPr>
  <dimension ref="A1:D27"/>
  <sheetViews>
    <sheetView showGridLines="0" zoomScaleNormal="100" workbookViewId="0">
      <selection activeCell="C20" sqref="C20"/>
    </sheetView>
  </sheetViews>
  <sheetFormatPr baseColWidth="10" defaultColWidth="10" defaultRowHeight="15"/>
  <cols>
    <col min="1" max="1" width="18.5" style="423" customWidth="1"/>
    <col min="2" max="2" width="46.25" style="423" customWidth="1"/>
    <col min="3" max="3" width="66.75" style="423" customWidth="1"/>
    <col min="4" max="16384" width="10" style="423"/>
  </cols>
  <sheetData>
    <row r="1" spans="1:4" ht="15.75">
      <c r="A1" s="1570" t="s">
        <v>279</v>
      </c>
      <c r="B1" s="1571"/>
      <c r="C1" s="1572"/>
      <c r="D1" s="587"/>
    </row>
    <row r="2" spans="1:4" ht="15.75">
      <c r="A2" s="447"/>
      <c r="D2" s="446"/>
    </row>
    <row r="3" spans="1:4" s="442" customFormat="1">
      <c r="A3" s="443"/>
    </row>
    <row r="4" spans="1:4" s="442" customFormat="1">
      <c r="A4" s="443" t="s">
        <v>280</v>
      </c>
      <c r="B4" s="1573" t="s">
        <v>281</v>
      </c>
      <c r="C4" s="1573"/>
    </row>
    <row r="5" spans="1:4" s="442" customFormat="1">
      <c r="A5" s="443"/>
      <c r="B5" s="1573" t="s">
        <v>282</v>
      </c>
      <c r="C5" s="1573"/>
    </row>
    <row r="6" spans="1:4" s="442" customFormat="1">
      <c r="A6" s="443"/>
      <c r="B6" s="444"/>
      <c r="C6" s="445"/>
    </row>
    <row r="7" spans="1:4" s="442" customFormat="1" ht="24.75" customHeight="1">
      <c r="A7" s="1574" t="s">
        <v>283</v>
      </c>
      <c r="B7" s="1574"/>
      <c r="C7" s="1574"/>
    </row>
    <row r="8" spans="1:4" s="442" customFormat="1">
      <c r="A8" s="443"/>
      <c r="B8" s="445"/>
      <c r="C8" s="445"/>
    </row>
    <row r="9" spans="1:4" s="442" customFormat="1">
      <c r="A9" s="1569" t="s">
        <v>284</v>
      </c>
      <c r="B9" s="1569"/>
      <c r="C9" s="1569"/>
    </row>
    <row r="10" spans="1:4" ht="15.75" thickBot="1">
      <c r="A10" s="20"/>
    </row>
    <row r="11" spans="1:4" ht="15.75" thickBot="1">
      <c r="A11" s="424" t="s">
        <v>285</v>
      </c>
      <c r="B11" s="425" t="s">
        <v>286</v>
      </c>
      <c r="C11" s="426" t="s">
        <v>287</v>
      </c>
    </row>
    <row r="12" spans="1:4" ht="63.75">
      <c r="A12" s="427" t="s">
        <v>82</v>
      </c>
      <c r="B12" s="428" t="s">
        <v>288</v>
      </c>
      <c r="C12" s="429" t="s">
        <v>289</v>
      </c>
    </row>
    <row r="13" spans="1:4" ht="102">
      <c r="A13" s="430" t="s">
        <v>290</v>
      </c>
      <c r="B13" s="431" t="s">
        <v>291</v>
      </c>
      <c r="C13" s="432" t="s">
        <v>292</v>
      </c>
    </row>
    <row r="14" spans="1:4" ht="114.75">
      <c r="A14" s="430" t="s">
        <v>293</v>
      </c>
      <c r="B14" s="431" t="s">
        <v>294</v>
      </c>
      <c r="C14" s="432" t="s">
        <v>295</v>
      </c>
    </row>
    <row r="15" spans="1:4" ht="127.5">
      <c r="A15" s="430" t="s">
        <v>88</v>
      </c>
      <c r="B15" s="431" t="s">
        <v>296</v>
      </c>
      <c r="C15" s="432" t="s">
        <v>297</v>
      </c>
    </row>
    <row r="16" spans="1:4" ht="140.25">
      <c r="A16" s="430" t="s">
        <v>298</v>
      </c>
      <c r="B16" s="431" t="s">
        <v>299</v>
      </c>
      <c r="C16" s="433" t="s">
        <v>300</v>
      </c>
    </row>
    <row r="17" spans="1:4" ht="63.75">
      <c r="A17" s="430" t="s">
        <v>92</v>
      </c>
      <c r="B17" s="431" t="s">
        <v>301</v>
      </c>
      <c r="C17" s="432" t="s">
        <v>302</v>
      </c>
    </row>
    <row r="18" spans="1:4" ht="127.5">
      <c r="A18" s="430" t="s">
        <v>94</v>
      </c>
      <c r="B18" s="431" t="s">
        <v>303</v>
      </c>
      <c r="C18" s="432" t="s">
        <v>397</v>
      </c>
      <c r="D18" s="613"/>
    </row>
    <row r="19" spans="1:4" ht="102">
      <c r="A19" s="430" t="s">
        <v>304</v>
      </c>
      <c r="B19" s="431" t="s">
        <v>305</v>
      </c>
      <c r="C19" s="432" t="s">
        <v>306</v>
      </c>
    </row>
    <row r="20" spans="1:4" ht="153">
      <c r="A20" s="430" t="s">
        <v>307</v>
      </c>
      <c r="B20" s="431" t="s">
        <v>308</v>
      </c>
      <c r="C20" s="432" t="s">
        <v>309</v>
      </c>
    </row>
    <row r="21" spans="1:4" ht="39" thickBot="1">
      <c r="A21" s="434" t="s">
        <v>310</v>
      </c>
      <c r="B21" s="435" t="s">
        <v>311</v>
      </c>
      <c r="C21" s="436"/>
    </row>
    <row r="22" spans="1:4">
      <c r="A22" s="437" t="s">
        <v>312</v>
      </c>
      <c r="B22" s="438" t="s">
        <v>313</v>
      </c>
      <c r="C22" s="439"/>
    </row>
    <row r="23" spans="1:4" ht="25.5">
      <c r="A23" s="430" t="s">
        <v>314</v>
      </c>
      <c r="B23" s="440" t="s">
        <v>315</v>
      </c>
      <c r="C23" s="433"/>
    </row>
    <row r="24" spans="1:4" ht="25.5">
      <c r="A24" s="430" t="s">
        <v>316</v>
      </c>
      <c r="B24" s="440" t="s">
        <v>315</v>
      </c>
      <c r="C24" s="433"/>
    </row>
    <row r="25" spans="1:4" ht="25.5">
      <c r="A25" s="430" t="s">
        <v>317</v>
      </c>
      <c r="B25" s="440" t="s">
        <v>318</v>
      </c>
      <c r="C25" s="433"/>
    </row>
    <row r="26" spans="1:4" ht="38.25">
      <c r="A26" s="430" t="s">
        <v>319</v>
      </c>
      <c r="B26" s="440" t="s">
        <v>320</v>
      </c>
      <c r="C26" s="432"/>
    </row>
    <row r="27" spans="1:4" ht="39" thickBot="1">
      <c r="A27" s="434" t="s">
        <v>321</v>
      </c>
      <c r="B27" s="441" t="s">
        <v>322</v>
      </c>
      <c r="C27" s="436"/>
    </row>
  </sheetData>
  <sheetProtection algorithmName="SHA-512" hashValue="cE8V2EF6VVjR6r7V1JL9JbDjVonBJL8D5T88kcork9bFayNj9Ts0HTSNhteeSw4qB3mXD7XeTwBRL5T6x6u40A==" saltValue="91V1iAwwc4dEblz1au2Gfw==" spinCount="100000" sheet="1" objects="1" scenarios="1"/>
  <customSheetViews>
    <customSheetView guid="{CDDBAA41-0D3E-44AF-A85A-332C81A5DAE4}" showGridLines="0" fitToPage="1">
      <pane ySplit="1" topLeftCell="A2" activePane="bottomLeft" state="frozen"/>
      <selection pane="bottomLeft" activeCell="D15" sqref="D15"/>
      <rowBreaks count="1" manualBreakCount="1">
        <brk id="22" max="16383" man="1"/>
      </rowBreaks>
      <pageMargins left="0.70866141732283472" right="0.70866141732283472" top="0.78740157480314965" bottom="0.78740157480314965" header="0.31496062992125984" footer="0.31496062992125984"/>
      <pageSetup paperSize="9" scale="61" fitToHeight="2" orientation="portrait"/>
      <headerFooter>
        <oddHeader>&amp;C&amp;9&amp;A</oddHeader>
        <oddFooter>&amp;C&amp;8Verhandlungsunterlagen SGB XI&amp;R&amp;8Version Kostenträger Stand: 29.11.2018</oddFooter>
      </headerFooter>
    </customSheetView>
  </customSheetViews>
  <mergeCells count="5">
    <mergeCell ref="A9:C9"/>
    <mergeCell ref="A1:C1"/>
    <mergeCell ref="B4:C4"/>
    <mergeCell ref="B5:C5"/>
    <mergeCell ref="A7:C7"/>
  </mergeCells>
  <pageMargins left="0.70866141732283472" right="0.70866141732283472" top="0.78740157480314965" bottom="0.78740157480314965" header="0.31496062992125984" footer="0.31496062992125984"/>
  <pageSetup paperSize="9" scale="61" fitToHeight="2" orientation="portrait"/>
  <headerFooter>
    <oddHeader>&amp;C&amp;9&amp;A</oddHeader>
    <oddFooter>&amp;L&amp;8Version: 21.11.2024&amp;C&amp;8Verhandlungsunterlagen TP/KZP SGB XI&amp;R&amp;8PSK vom 07.11.2024</oddFooter>
  </headerFooter>
  <rowBreaks count="1" manualBreakCount="1">
    <brk id="2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pageSetUpPr fitToPage="1"/>
  </sheetPr>
  <dimension ref="A1:S57"/>
  <sheetViews>
    <sheetView zoomScaleNormal="100" workbookViewId="0">
      <selection sqref="A1:I4"/>
    </sheetView>
  </sheetViews>
  <sheetFormatPr baseColWidth="10" defaultColWidth="10" defaultRowHeight="14.25"/>
  <cols>
    <col min="1" max="3" width="10" style="449"/>
    <col min="4" max="4" width="7.625" style="449" customWidth="1"/>
    <col min="5" max="5" width="2.875" style="449" customWidth="1"/>
    <col min="6" max="6" width="2" style="449" customWidth="1"/>
    <col min="7" max="7" width="10.625" style="449" customWidth="1"/>
    <col min="8" max="8" width="10" style="449"/>
    <col min="9" max="9" width="11.5" style="449" customWidth="1"/>
    <col min="10" max="16384" width="10" style="449"/>
  </cols>
  <sheetData>
    <row r="1" spans="1:19" ht="15" customHeight="1">
      <c r="A1" s="1575" t="s">
        <v>323</v>
      </c>
      <c r="B1" s="1576"/>
      <c r="C1" s="1576"/>
      <c r="D1" s="1576"/>
      <c r="E1" s="1576"/>
      <c r="F1" s="1576"/>
      <c r="G1" s="1576"/>
      <c r="H1" s="1576"/>
      <c r="I1" s="1577"/>
      <c r="J1" s="459"/>
    </row>
    <row r="2" spans="1:19">
      <c r="A2" s="1578"/>
      <c r="B2" s="1579"/>
      <c r="C2" s="1579"/>
      <c r="D2" s="1579"/>
      <c r="E2" s="1579"/>
      <c r="F2" s="1579"/>
      <c r="G2" s="1579"/>
      <c r="H2" s="1579"/>
      <c r="I2" s="1580"/>
      <c r="J2" s="840"/>
    </row>
    <row r="3" spans="1:19">
      <c r="A3" s="1578"/>
      <c r="B3" s="1579"/>
      <c r="C3" s="1579"/>
      <c r="D3" s="1579"/>
      <c r="E3" s="1579"/>
      <c r="F3" s="1579"/>
      <c r="G3" s="1579"/>
      <c r="H3" s="1579"/>
      <c r="I3" s="1580"/>
      <c r="J3" s="466"/>
    </row>
    <row r="4" spans="1:19">
      <c r="A4" s="1581"/>
      <c r="B4" s="1582"/>
      <c r="C4" s="1582"/>
      <c r="D4" s="1582"/>
      <c r="E4" s="1582"/>
      <c r="F4" s="1582"/>
      <c r="G4" s="1582"/>
      <c r="H4" s="1582"/>
      <c r="I4" s="1583"/>
    </row>
    <row r="5" spans="1:19">
      <c r="A5" s="448" t="s">
        <v>324</v>
      </c>
      <c r="I5" s="450"/>
      <c r="J5" s="838"/>
    </row>
    <row r="6" spans="1:19">
      <c r="A6" s="467" t="s">
        <v>520</v>
      </c>
      <c r="I6" s="450"/>
      <c r="K6" s="831"/>
      <c r="L6" s="831"/>
      <c r="M6" s="831"/>
      <c r="N6" s="831"/>
      <c r="O6" s="831"/>
      <c r="P6" s="831"/>
      <c r="Q6" s="831"/>
      <c r="R6" s="831"/>
      <c r="S6" s="831"/>
    </row>
    <row r="7" spans="1:19">
      <c r="A7" s="467" t="s">
        <v>518</v>
      </c>
      <c r="E7" s="462"/>
      <c r="I7" s="450"/>
    </row>
    <row r="8" spans="1:19">
      <c r="A8" s="451" t="s">
        <v>519</v>
      </c>
      <c r="I8" s="450"/>
    </row>
    <row r="9" spans="1:19">
      <c r="A9" s="448" t="s">
        <v>325</v>
      </c>
      <c r="E9" s="839" t="s">
        <v>614</v>
      </c>
      <c r="I9" s="450"/>
    </row>
    <row r="10" spans="1:19">
      <c r="A10" s="448" t="s">
        <v>326</v>
      </c>
      <c r="I10" s="450"/>
    </row>
    <row r="11" spans="1:19">
      <c r="A11" s="448"/>
      <c r="I11" s="450"/>
    </row>
    <row r="12" spans="1:19">
      <c r="A12" s="448" t="s">
        <v>327</v>
      </c>
      <c r="E12" s="462"/>
      <c r="I12" s="450"/>
    </row>
    <row r="13" spans="1:19">
      <c r="A13" s="448" t="s">
        <v>328</v>
      </c>
      <c r="I13" s="450"/>
    </row>
    <row r="14" spans="1:19">
      <c r="A14" s="448" t="s">
        <v>329</v>
      </c>
      <c r="I14" s="450"/>
    </row>
    <row r="15" spans="1:19">
      <c r="A15" s="448"/>
      <c r="I15" s="450"/>
    </row>
    <row r="16" spans="1:19">
      <c r="A16" s="448" t="s">
        <v>330</v>
      </c>
      <c r="E16" s="462"/>
      <c r="I16" s="450"/>
    </row>
    <row r="17" spans="1:10">
      <c r="A17" s="448" t="s">
        <v>331</v>
      </c>
      <c r="I17" s="450"/>
    </row>
    <row r="18" spans="1:10">
      <c r="A18" s="448" t="s">
        <v>332</v>
      </c>
      <c r="I18" s="450"/>
    </row>
    <row r="19" spans="1:10">
      <c r="A19" s="448" t="s">
        <v>333</v>
      </c>
      <c r="I19" s="450"/>
    </row>
    <row r="20" spans="1:10">
      <c r="A20" s="448"/>
      <c r="I20" s="450"/>
    </row>
    <row r="21" spans="1:10">
      <c r="A21" s="448" t="s">
        <v>334</v>
      </c>
      <c r="E21" s="462"/>
      <c r="G21" s="839" t="s">
        <v>523</v>
      </c>
      <c r="I21" s="450"/>
      <c r="J21" s="841"/>
    </row>
    <row r="22" spans="1:10">
      <c r="A22" s="448" t="s">
        <v>521</v>
      </c>
      <c r="I22" s="450"/>
      <c r="J22" s="837"/>
    </row>
    <row r="23" spans="1:10">
      <c r="A23" s="467" t="s">
        <v>522</v>
      </c>
      <c r="I23" s="450"/>
      <c r="J23" s="837"/>
    </row>
    <row r="24" spans="1:10">
      <c r="A24" s="448"/>
      <c r="I24" s="450"/>
    </row>
    <row r="25" spans="1:10">
      <c r="A25" s="452" t="s">
        <v>335</v>
      </c>
      <c r="I25" s="450"/>
    </row>
    <row r="26" spans="1:10">
      <c r="A26" s="448"/>
      <c r="I26" s="450"/>
    </row>
    <row r="27" spans="1:10">
      <c r="A27" s="448" t="s">
        <v>336</v>
      </c>
      <c r="E27" s="462"/>
      <c r="I27" s="450"/>
    </row>
    <row r="28" spans="1:10">
      <c r="A28" s="448" t="s">
        <v>337</v>
      </c>
      <c r="I28" s="450"/>
    </row>
    <row r="29" spans="1:10">
      <c r="A29" s="448" t="s">
        <v>338</v>
      </c>
      <c r="I29" s="450"/>
    </row>
    <row r="30" spans="1:10">
      <c r="A30" s="448" t="s">
        <v>339</v>
      </c>
      <c r="I30" s="450"/>
    </row>
    <row r="31" spans="1:10">
      <c r="A31" s="448"/>
      <c r="I31" s="450"/>
    </row>
    <row r="32" spans="1:10" ht="18">
      <c r="A32" s="452" t="s">
        <v>340</v>
      </c>
      <c r="D32" s="1315"/>
      <c r="I32" s="450"/>
      <c r="J32" s="466"/>
    </row>
    <row r="33" spans="1:9">
      <c r="A33" s="448"/>
      <c r="I33" s="450"/>
    </row>
    <row r="34" spans="1:9">
      <c r="A34" s="448" t="s">
        <v>342</v>
      </c>
      <c r="E34" s="462"/>
      <c r="G34" s="1316" t="s">
        <v>748</v>
      </c>
      <c r="I34" s="450"/>
    </row>
    <row r="35" spans="1:9">
      <c r="A35" s="448" t="s">
        <v>343</v>
      </c>
      <c r="I35" s="450"/>
    </row>
    <row r="36" spans="1:9">
      <c r="A36" s="448" t="s">
        <v>345</v>
      </c>
      <c r="I36" s="450"/>
    </row>
    <row r="37" spans="1:9">
      <c r="A37" s="448"/>
      <c r="I37" s="450"/>
    </row>
    <row r="38" spans="1:9">
      <c r="A38" s="448" t="s">
        <v>749</v>
      </c>
      <c r="E38" s="465"/>
      <c r="G38" s="1316" t="s">
        <v>752</v>
      </c>
      <c r="I38" s="450"/>
    </row>
    <row r="39" spans="1:9">
      <c r="A39" s="448" t="s">
        <v>750</v>
      </c>
      <c r="G39" s="1316" t="s">
        <v>753</v>
      </c>
      <c r="I39" s="450"/>
    </row>
    <row r="40" spans="1:9">
      <c r="A40" s="448" t="s">
        <v>751</v>
      </c>
      <c r="G40" s="1316" t="s">
        <v>754</v>
      </c>
      <c r="I40" s="450"/>
    </row>
    <row r="41" spans="1:9">
      <c r="A41" s="448" t="s">
        <v>345</v>
      </c>
      <c r="G41" s="459"/>
      <c r="H41" s="459"/>
      <c r="I41" s="460"/>
    </row>
    <row r="42" spans="1:9">
      <c r="A42" s="1584"/>
      <c r="B42" s="1490"/>
      <c r="C42" s="1490"/>
      <c r="I42" s="450"/>
    </row>
    <row r="43" spans="1:9">
      <c r="A43" s="453" t="s">
        <v>341</v>
      </c>
      <c r="B43" s="454"/>
      <c r="C43" s="455"/>
      <c r="I43" s="450"/>
    </row>
    <row r="44" spans="1:9">
      <c r="A44" s="1309" t="s">
        <v>344</v>
      </c>
      <c r="B44" s="1314"/>
      <c r="C44" s="1310"/>
      <c r="I44" s="450"/>
    </row>
    <row r="45" spans="1:9">
      <c r="A45" s="1309" t="s">
        <v>351</v>
      </c>
      <c r="B45" s="1314"/>
      <c r="C45" s="1310"/>
      <c r="I45" s="450"/>
    </row>
    <row r="46" spans="1:9">
      <c r="A46" s="1309" t="s">
        <v>346</v>
      </c>
      <c r="B46" s="1314"/>
      <c r="C46" s="1310"/>
      <c r="D46" s="1317"/>
      <c r="E46" s="1317"/>
      <c r="F46" s="1317"/>
      <c r="G46" s="1317"/>
      <c r="I46" s="450"/>
    </row>
    <row r="47" spans="1:9">
      <c r="A47" s="1309" t="s">
        <v>347</v>
      </c>
      <c r="B47" s="1314"/>
      <c r="C47" s="1310"/>
      <c r="D47" s="1317"/>
      <c r="E47" s="1317"/>
      <c r="F47" s="1317"/>
      <c r="G47" s="1317"/>
      <c r="I47" s="450"/>
    </row>
    <row r="48" spans="1:9" ht="23.25" hidden="1" customHeight="1">
      <c r="A48" s="1309" t="s">
        <v>352</v>
      </c>
      <c r="B48" s="1314"/>
      <c r="C48" s="1310"/>
      <c r="D48" s="1317"/>
      <c r="E48" s="1317"/>
      <c r="F48" s="1317"/>
      <c r="G48" s="1317"/>
      <c r="I48" s="461"/>
    </row>
    <row r="49" spans="1:9" ht="15" customHeight="1">
      <c r="A49" s="1311" t="s">
        <v>353</v>
      </c>
      <c r="B49" s="1312"/>
      <c r="C49" s="1313"/>
      <c r="D49" s="463"/>
      <c r="E49" s="464"/>
      <c r="F49" s="1317"/>
      <c r="G49" s="1318"/>
      <c r="I49" s="450"/>
    </row>
    <row r="50" spans="1:9" ht="15" customHeight="1">
      <c r="A50" s="1309"/>
      <c r="B50" s="1314"/>
      <c r="C50" s="1314"/>
      <c r="D50" s="463"/>
      <c r="E50" s="464"/>
      <c r="F50" s="1317"/>
      <c r="G50" s="1318"/>
      <c r="I50" s="450"/>
    </row>
    <row r="51" spans="1:9" ht="15" customHeight="1">
      <c r="A51" s="1584" t="s">
        <v>348</v>
      </c>
      <c r="B51" s="1490"/>
      <c r="C51" s="1490"/>
      <c r="E51" s="465"/>
      <c r="F51" s="1317"/>
      <c r="G51" s="1317"/>
      <c r="I51" s="450"/>
    </row>
    <row r="52" spans="1:9" ht="15" customHeight="1">
      <c r="A52" s="448" t="s">
        <v>349</v>
      </c>
      <c r="I52" s="450"/>
    </row>
    <row r="53" spans="1:9">
      <c r="A53" s="467" t="s">
        <v>627</v>
      </c>
      <c r="I53" s="450"/>
    </row>
    <row r="54" spans="1:9">
      <c r="A54" s="467" t="s">
        <v>628</v>
      </c>
      <c r="I54" s="450"/>
    </row>
    <row r="55" spans="1:9">
      <c r="A55" s="448"/>
      <c r="I55" s="450"/>
    </row>
    <row r="56" spans="1:9">
      <c r="A56" s="448"/>
      <c r="I56" s="450"/>
    </row>
    <row r="57" spans="1:9">
      <c r="A57" s="456"/>
      <c r="B57" s="457"/>
      <c r="C57" s="457"/>
      <c r="D57" s="457"/>
      <c r="E57" s="457"/>
      <c r="F57" s="457"/>
      <c r="G57" s="457"/>
      <c r="H57" s="457"/>
      <c r="I57" s="458"/>
    </row>
  </sheetData>
  <sheetProtection algorithmName="SHA-512" hashValue="a132zErgNEyev/YWKiIKuAhFLe0UiTl0/MmZVhU8dAXtj0YkMzqaCUhOk1AZGHvQK/PkAtAEysrSoedR4HB8hg==" saltValue="sDPcfh7MLUjin42RkZJb+g==" spinCount="100000" sheet="1" objects="1" scenarios="1"/>
  <customSheetViews>
    <customSheetView guid="{CDDBAA41-0D3E-44AF-A85A-332C81A5DAE4}" fitToPage="1" hiddenRows="1">
      <pane ySplit="4" topLeftCell="A5" activePane="bottomLeft" state="frozen"/>
      <selection pane="bottomLeft" activeCell="H6" sqref="H6"/>
      <pageMargins left="0.70866141732283472" right="0.70866141732283472" top="0.78740157480314965" bottom="0.78740157480314965" header="0.31496062992125984" footer="0.31496062992125984"/>
      <pageSetup paperSize="9" orientation="portrait"/>
      <headerFooter>
        <oddHeader>&amp;C&amp;9&amp;A</oddHeader>
        <oddFooter>&amp;C&amp;8Verhandlungsunterlagen SGB XI&amp;R&amp;8Version Kostenträger Stand: 29.11.2018</oddFooter>
      </headerFooter>
    </customSheetView>
  </customSheetViews>
  <mergeCells count="3">
    <mergeCell ref="A1:I4"/>
    <mergeCell ref="A42:C42"/>
    <mergeCell ref="A51:C51"/>
  </mergeCells>
  <hyperlinks>
    <hyperlink ref="G21" r:id="rId1" xr:uid="{00000000-0004-0000-0C00-000000000000}"/>
    <hyperlink ref="E9" r:id="rId2" xr:uid="{00000000-0004-0000-0C00-000001000000}"/>
    <hyperlink ref="G34" r:id="rId3" xr:uid="{A2F1C579-45A5-4AD3-BA35-FBEF6463968F}"/>
    <hyperlink ref="G38" r:id="rId4" xr:uid="{D1DD6801-636C-40BD-A8C0-33E4E0E30170}"/>
    <hyperlink ref="G39" r:id="rId5" xr:uid="{6FB067D0-40CD-4287-83B7-554D14CB6394}"/>
    <hyperlink ref="G40" r:id="rId6" xr:uid="{DF8F6BF0-C725-4367-8705-0090E4FEFD50}"/>
  </hyperlinks>
  <pageMargins left="0.70866141732283472" right="0.70866141732283472" top="0.78740157480314965" bottom="0.78740157480314965" header="0.31496062992125984" footer="0.31496062992125984"/>
  <pageSetup paperSize="9" scale="94" orientation="portrait"/>
  <headerFooter>
    <oddHeader>&amp;C&amp;9&amp;A</oddHeader>
    <oddFooter>&amp;L&amp;8Version: 21.11.2024&amp;C&amp;8Verhandlungsunterlagen TP/KZP SGB XI&amp;R&amp;8PSK vom 07.11.2024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9"/>
  <sheetViews>
    <sheetView showGridLines="0" zoomScaleNormal="100" workbookViewId="0">
      <pane ySplit="5" topLeftCell="A6" activePane="bottomLeft" state="frozen"/>
      <selection pane="bottomLeft" activeCell="E59" sqref="A1:E59"/>
    </sheetView>
  </sheetViews>
  <sheetFormatPr baseColWidth="10" defaultRowHeight="14.25"/>
  <cols>
    <col min="1" max="1" width="10.625" customWidth="1"/>
    <col min="2" max="2" width="28.125" customWidth="1"/>
    <col min="3" max="3" width="30" customWidth="1"/>
    <col min="4" max="4" width="42.75" customWidth="1"/>
    <col min="5" max="5" width="29.75" customWidth="1"/>
  </cols>
  <sheetData>
    <row r="1" spans="1:5">
      <c r="A1" s="1211"/>
      <c r="B1" s="1211"/>
      <c r="C1" s="1211"/>
      <c r="D1" s="1211"/>
      <c r="E1" s="1211"/>
    </row>
    <row r="2" spans="1:5" ht="23.25" customHeight="1">
      <c r="A2" s="1336" t="s">
        <v>624</v>
      </c>
      <c r="B2" s="1337"/>
      <c r="C2" s="1337"/>
      <c r="D2" s="1337"/>
      <c r="E2" s="1337"/>
    </row>
    <row r="3" spans="1:5">
      <c r="A3" s="1211"/>
      <c r="B3" s="1211"/>
      <c r="C3" s="1211"/>
      <c r="D3" s="1211"/>
      <c r="E3" s="1211"/>
    </row>
    <row r="5" spans="1:5" ht="25.5">
      <c r="A5" s="1212" t="s">
        <v>616</v>
      </c>
      <c r="B5" s="1212" t="s">
        <v>617</v>
      </c>
      <c r="C5" s="1212" t="s">
        <v>618</v>
      </c>
      <c r="D5" s="1212" t="s">
        <v>619</v>
      </c>
      <c r="E5" s="1212" t="s">
        <v>620</v>
      </c>
    </row>
    <row r="6" spans="1:5" s="1242" customFormat="1" ht="102">
      <c r="A6" s="1240">
        <v>44740</v>
      </c>
      <c r="B6" s="1241" t="s">
        <v>156</v>
      </c>
      <c r="C6" s="1241" t="s">
        <v>623</v>
      </c>
      <c r="D6" s="1241" t="s">
        <v>621</v>
      </c>
      <c r="E6" s="1241" t="s">
        <v>622</v>
      </c>
    </row>
    <row r="7" spans="1:5" s="1242" customFormat="1" ht="12.75">
      <c r="A7" s="1243"/>
      <c r="B7" s="1244"/>
      <c r="C7" s="1244"/>
      <c r="D7" s="1244"/>
      <c r="E7" s="1244"/>
    </row>
    <row r="8" spans="1:5" s="1242" customFormat="1" ht="153">
      <c r="A8" s="1245">
        <v>44784</v>
      </c>
      <c r="B8" s="1246" t="s">
        <v>156</v>
      </c>
      <c r="C8" s="1246"/>
      <c r="D8" s="1246" t="s">
        <v>625</v>
      </c>
      <c r="E8" s="1246" t="s">
        <v>626</v>
      </c>
    </row>
    <row r="9" spans="1:5" s="1242" customFormat="1" ht="25.5">
      <c r="A9" s="1240">
        <v>44900</v>
      </c>
      <c r="B9" s="1241" t="s">
        <v>629</v>
      </c>
      <c r="C9" s="1241" t="s">
        <v>630</v>
      </c>
      <c r="D9" s="1241" t="s">
        <v>632</v>
      </c>
      <c r="E9" s="1241" t="s">
        <v>631</v>
      </c>
    </row>
    <row r="10" spans="1:5" s="1242" customFormat="1" ht="25.5">
      <c r="A10" s="1247"/>
      <c r="B10" s="1248" t="s">
        <v>156</v>
      </c>
      <c r="C10" s="1248" t="s">
        <v>634</v>
      </c>
      <c r="D10" s="1248" t="s">
        <v>635</v>
      </c>
      <c r="E10" s="1248" t="s">
        <v>636</v>
      </c>
    </row>
    <row r="11" spans="1:5" s="1242" customFormat="1" ht="76.5">
      <c r="A11" s="1249"/>
      <c r="B11" s="1250" t="s">
        <v>637</v>
      </c>
      <c r="C11" s="1250" t="s">
        <v>638</v>
      </c>
      <c r="D11" s="1250" t="s">
        <v>640</v>
      </c>
      <c r="E11" s="1250" t="s">
        <v>639</v>
      </c>
    </row>
    <row r="12" spans="1:5" s="1242" customFormat="1" ht="12.75">
      <c r="A12" s="1251">
        <v>44903</v>
      </c>
      <c r="B12" s="1252" t="s">
        <v>642</v>
      </c>
      <c r="C12" s="1252" t="s">
        <v>645</v>
      </c>
      <c r="D12" s="1252" t="s">
        <v>643</v>
      </c>
      <c r="E12" s="1252"/>
    </row>
    <row r="13" spans="1:5" s="1242" customFormat="1" ht="12.75">
      <c r="A13" s="1253"/>
      <c r="B13" s="1254" t="s">
        <v>641</v>
      </c>
      <c r="C13" s="1254"/>
      <c r="D13" s="1244" t="s">
        <v>644</v>
      </c>
      <c r="E13" s="1244"/>
    </row>
    <row r="14" spans="1:5" s="1242" customFormat="1" ht="12.75">
      <c r="A14" s="1255">
        <v>45055</v>
      </c>
      <c r="B14" s="1256" t="s">
        <v>1</v>
      </c>
      <c r="C14" s="1256" t="s">
        <v>647</v>
      </c>
      <c r="D14" s="1256" t="s">
        <v>648</v>
      </c>
      <c r="E14" s="1256"/>
    </row>
    <row r="15" spans="1:5" s="1242" customFormat="1" ht="12.75">
      <c r="A15" s="1257"/>
      <c r="B15" s="1258" t="s">
        <v>1</v>
      </c>
      <c r="C15" s="1258" t="s">
        <v>649</v>
      </c>
      <c r="D15" s="1258" t="s">
        <v>646</v>
      </c>
      <c r="E15" s="1258"/>
    </row>
    <row r="16" spans="1:5" s="1242" customFormat="1" ht="12.75">
      <c r="A16" s="1257"/>
      <c r="B16" s="1258" t="s">
        <v>1</v>
      </c>
      <c r="C16" s="1258" t="s">
        <v>650</v>
      </c>
      <c r="D16" s="1258" t="s">
        <v>651</v>
      </c>
      <c r="E16" s="1258"/>
    </row>
    <row r="17" spans="1:5" s="1242" customFormat="1" ht="12.75">
      <c r="A17" s="1257"/>
      <c r="B17" s="1258" t="s">
        <v>1</v>
      </c>
      <c r="C17" s="1258" t="s">
        <v>661</v>
      </c>
      <c r="D17" s="1258" t="s">
        <v>662</v>
      </c>
      <c r="E17" s="1258"/>
    </row>
    <row r="18" spans="1:5" s="1242" customFormat="1" ht="38.25">
      <c r="A18" s="1257"/>
      <c r="B18" s="1258" t="s">
        <v>1</v>
      </c>
      <c r="C18" s="1258" t="s">
        <v>665</v>
      </c>
      <c r="D18" s="1258" t="s">
        <v>666</v>
      </c>
      <c r="E18" s="1258"/>
    </row>
    <row r="19" spans="1:5" s="1242" customFormat="1" ht="25.5">
      <c r="A19" s="1257"/>
      <c r="B19" s="1258" t="s">
        <v>652</v>
      </c>
      <c r="C19" s="1258" t="s">
        <v>653</v>
      </c>
      <c r="D19" s="1258" t="s">
        <v>655</v>
      </c>
      <c r="E19" s="1258"/>
    </row>
    <row r="20" spans="1:5" ht="48" customHeight="1">
      <c r="A20" s="1257"/>
      <c r="B20" s="1258" t="s">
        <v>652</v>
      </c>
      <c r="C20" s="1258" t="s">
        <v>654</v>
      </c>
      <c r="D20" s="1258" t="s">
        <v>674</v>
      </c>
      <c r="E20" s="1259"/>
    </row>
    <row r="21" spans="1:5" ht="51">
      <c r="A21" s="1257"/>
      <c r="B21" s="1258" t="s">
        <v>652</v>
      </c>
      <c r="C21" s="1258" t="s">
        <v>654</v>
      </c>
      <c r="D21" s="1258" t="s">
        <v>656</v>
      </c>
      <c r="E21" s="1259"/>
    </row>
    <row r="22" spans="1:5" ht="25.5">
      <c r="A22" s="1257"/>
      <c r="B22" s="1258" t="s">
        <v>652</v>
      </c>
      <c r="C22" s="1258" t="s">
        <v>657</v>
      </c>
      <c r="D22" s="1258" t="s">
        <v>663</v>
      </c>
      <c r="E22" s="1259"/>
    </row>
    <row r="23" spans="1:5">
      <c r="A23" s="1257"/>
      <c r="B23" s="1258" t="s">
        <v>652</v>
      </c>
      <c r="C23" s="1258" t="s">
        <v>658</v>
      </c>
      <c r="D23" s="1258" t="s">
        <v>659</v>
      </c>
      <c r="E23" s="1259"/>
    </row>
    <row r="24" spans="1:5" ht="39.950000000000003" customHeight="1">
      <c r="A24" s="1243"/>
      <c r="B24" s="1260" t="s">
        <v>652</v>
      </c>
      <c r="C24" s="1260" t="s">
        <v>658</v>
      </c>
      <c r="D24" s="1260" t="s">
        <v>660</v>
      </c>
      <c r="E24" s="1261"/>
    </row>
    <row r="25" spans="1:5" ht="97.5" customHeight="1">
      <c r="A25" s="1245">
        <v>45056</v>
      </c>
      <c r="B25" s="1246" t="s">
        <v>652</v>
      </c>
      <c r="C25" s="1246" t="s">
        <v>664</v>
      </c>
      <c r="D25" s="1302" t="s">
        <v>675</v>
      </c>
      <c r="E25" s="1262"/>
    </row>
    <row r="26" spans="1:5" ht="76.5" customHeight="1">
      <c r="A26" s="1257">
        <v>45055</v>
      </c>
      <c r="B26" s="1256" t="s">
        <v>652</v>
      </c>
      <c r="C26" s="1256" t="s">
        <v>667</v>
      </c>
      <c r="D26" s="1256" t="s">
        <v>672</v>
      </c>
      <c r="E26" s="1338" t="s">
        <v>671</v>
      </c>
    </row>
    <row r="27" spans="1:5" ht="38.25">
      <c r="A27" s="1257"/>
      <c r="B27" s="1258" t="s">
        <v>652</v>
      </c>
      <c r="C27" s="1258" t="s">
        <v>668</v>
      </c>
      <c r="D27" s="1300" t="s">
        <v>673</v>
      </c>
      <c r="E27" s="1339"/>
    </row>
    <row r="28" spans="1:5">
      <c r="A28" s="1243"/>
      <c r="B28" s="1260" t="s">
        <v>652</v>
      </c>
      <c r="C28" s="1260" t="s">
        <v>669</v>
      </c>
      <c r="D28" s="1301" t="s">
        <v>670</v>
      </c>
      <c r="E28" s="1340"/>
    </row>
    <row r="29" spans="1:5" ht="178.5">
      <c r="A29" s="1263">
        <v>45061</v>
      </c>
      <c r="B29" s="1264" t="s">
        <v>1</v>
      </c>
      <c r="C29" s="1264" t="s">
        <v>665</v>
      </c>
      <c r="D29" s="1265" t="s">
        <v>676</v>
      </c>
      <c r="E29" s="1264" t="s">
        <v>684</v>
      </c>
    </row>
    <row r="30" spans="1:5" ht="63.75">
      <c r="A30" s="1266"/>
      <c r="B30" s="1258" t="s">
        <v>1</v>
      </c>
      <c r="C30" s="1258" t="s">
        <v>677</v>
      </c>
      <c r="D30" s="1258" t="s">
        <v>679</v>
      </c>
      <c r="E30" s="1258" t="s">
        <v>678</v>
      </c>
    </row>
    <row r="31" spans="1:5" ht="25.5">
      <c r="A31" s="1266"/>
      <c r="B31" s="1258" t="s">
        <v>652</v>
      </c>
      <c r="C31" s="1258" t="s">
        <v>680</v>
      </c>
      <c r="D31" s="1267" t="s">
        <v>681</v>
      </c>
      <c r="E31" s="1258" t="s">
        <v>682</v>
      </c>
    </row>
    <row r="32" spans="1:5" ht="51">
      <c r="A32" s="1266"/>
      <c r="B32" s="1258" t="s">
        <v>652</v>
      </c>
      <c r="C32" s="1258" t="s">
        <v>667</v>
      </c>
      <c r="D32" s="1258" t="s">
        <v>696</v>
      </c>
      <c r="E32" s="1258" t="s">
        <v>683</v>
      </c>
    </row>
    <row r="33" spans="1:5" ht="51">
      <c r="A33" s="1266"/>
      <c r="B33" s="1258" t="s">
        <v>652</v>
      </c>
      <c r="C33" s="1258" t="s">
        <v>685</v>
      </c>
      <c r="D33" s="1258" t="s">
        <v>686</v>
      </c>
      <c r="E33" s="1258" t="s">
        <v>687</v>
      </c>
    </row>
    <row r="34" spans="1:5" ht="102" customHeight="1">
      <c r="A34" s="1266"/>
      <c r="B34" s="1258" t="s">
        <v>652</v>
      </c>
      <c r="C34" s="1258" t="s">
        <v>657</v>
      </c>
      <c r="D34" s="1258" t="s">
        <v>695</v>
      </c>
      <c r="E34" s="1258" t="s">
        <v>689</v>
      </c>
    </row>
    <row r="35" spans="1:5" ht="51">
      <c r="A35" s="1266"/>
      <c r="B35" s="1258" t="s">
        <v>652</v>
      </c>
      <c r="C35" s="1258" t="s">
        <v>688</v>
      </c>
      <c r="D35" s="1258" t="s">
        <v>693</v>
      </c>
      <c r="E35" s="1258" t="s">
        <v>694</v>
      </c>
    </row>
    <row r="36" spans="1:5" ht="144.75">
      <c r="A36" s="1268"/>
      <c r="B36" s="1260" t="s">
        <v>652</v>
      </c>
      <c r="C36" s="1260" t="s">
        <v>664</v>
      </c>
      <c r="D36" s="1260" t="s">
        <v>690</v>
      </c>
      <c r="E36" s="1260" t="s">
        <v>691</v>
      </c>
    </row>
    <row r="37" spans="1:5" ht="25.5">
      <c r="A37" s="1269">
        <v>45062</v>
      </c>
      <c r="B37" s="1256" t="s">
        <v>1</v>
      </c>
      <c r="C37" s="1256" t="s">
        <v>649</v>
      </c>
      <c r="D37" s="1256" t="s">
        <v>703</v>
      </c>
      <c r="E37" s="1256" t="s">
        <v>704</v>
      </c>
    </row>
    <row r="38" spans="1:5" ht="25.5">
      <c r="A38" s="1266"/>
      <c r="B38" s="1258" t="s">
        <v>1</v>
      </c>
      <c r="C38" s="1258" t="s">
        <v>698</v>
      </c>
      <c r="D38" s="1258" t="s">
        <v>705</v>
      </c>
      <c r="E38" s="1258" t="s">
        <v>706</v>
      </c>
    </row>
    <row r="39" spans="1:5" ht="25.5">
      <c r="A39" s="1266"/>
      <c r="B39" s="1258" t="s">
        <v>1</v>
      </c>
      <c r="C39" s="1258" t="s">
        <v>699</v>
      </c>
      <c r="D39" s="1258" t="s">
        <v>613</v>
      </c>
      <c r="E39" s="1267"/>
    </row>
    <row r="40" spans="1:5">
      <c r="A40" s="1266"/>
      <c r="B40" s="1258" t="s">
        <v>1</v>
      </c>
      <c r="C40" s="1258" t="s">
        <v>700</v>
      </c>
      <c r="D40" s="1258" t="s">
        <v>701</v>
      </c>
      <c r="E40" s="1267"/>
    </row>
    <row r="41" spans="1:5" ht="76.5">
      <c r="A41" s="1266"/>
      <c r="B41" s="1258" t="s">
        <v>652</v>
      </c>
      <c r="C41" s="1258" t="s">
        <v>658</v>
      </c>
      <c r="D41" s="1258" t="s">
        <v>702</v>
      </c>
      <c r="E41" s="1267"/>
    </row>
    <row r="42" spans="1:5" ht="51">
      <c r="A42" s="1266"/>
      <c r="B42" s="1258" t="s">
        <v>652</v>
      </c>
      <c r="C42" s="1258" t="s">
        <v>667</v>
      </c>
      <c r="D42" s="1258" t="s">
        <v>709</v>
      </c>
      <c r="E42" s="1258" t="s">
        <v>708</v>
      </c>
    </row>
    <row r="43" spans="1:5" ht="38.25">
      <c r="A43" s="1268"/>
      <c r="B43" s="1260" t="s">
        <v>1</v>
      </c>
      <c r="C43" s="1260" t="s">
        <v>677</v>
      </c>
      <c r="D43" s="1260" t="s">
        <v>710</v>
      </c>
      <c r="E43" s="1260" t="s">
        <v>707</v>
      </c>
    </row>
    <row r="44" spans="1:5" ht="38.25">
      <c r="A44" s="1270">
        <v>45068</v>
      </c>
      <c r="B44" s="1246" t="s">
        <v>652</v>
      </c>
      <c r="C44" s="1246" t="s">
        <v>658</v>
      </c>
      <c r="D44" s="1246" t="s">
        <v>711</v>
      </c>
      <c r="E44" s="1246" t="s">
        <v>712</v>
      </c>
    </row>
    <row r="45" spans="1:5">
      <c r="A45" s="1344">
        <v>45079</v>
      </c>
      <c r="B45" s="1341" t="s">
        <v>1</v>
      </c>
      <c r="C45" s="1289" t="s">
        <v>716</v>
      </c>
      <c r="D45" s="1289" t="s">
        <v>715</v>
      </c>
      <c r="E45" s="1290"/>
    </row>
    <row r="46" spans="1:5" ht="25.5" customHeight="1">
      <c r="A46" s="1345"/>
      <c r="B46" s="1342"/>
      <c r="C46" s="1291" t="s">
        <v>717</v>
      </c>
      <c r="D46" s="1291" t="s">
        <v>718</v>
      </c>
      <c r="E46" s="1346" t="s">
        <v>724</v>
      </c>
    </row>
    <row r="47" spans="1:5" ht="25.5">
      <c r="A47" s="1345"/>
      <c r="B47" s="1342"/>
      <c r="C47" s="1291" t="s">
        <v>722</v>
      </c>
      <c r="D47" s="1292" t="s">
        <v>732</v>
      </c>
      <c r="E47" s="1346"/>
    </row>
    <row r="48" spans="1:5" ht="25.5">
      <c r="A48" s="1345"/>
      <c r="B48" s="1343"/>
      <c r="C48" s="1291" t="s">
        <v>723</v>
      </c>
      <c r="D48" s="1292" t="s">
        <v>731</v>
      </c>
      <c r="E48" s="1346"/>
    </row>
    <row r="49" spans="1:5">
      <c r="A49" s="1297"/>
      <c r="B49" s="1294"/>
      <c r="C49" s="1292" t="s">
        <v>669</v>
      </c>
      <c r="D49" s="1292" t="s">
        <v>733</v>
      </c>
      <c r="E49" s="1346"/>
    </row>
    <row r="50" spans="1:5">
      <c r="A50" s="1297"/>
      <c r="B50" s="1295" t="s">
        <v>728</v>
      </c>
      <c r="C50" s="1292" t="s">
        <v>729</v>
      </c>
      <c r="D50" s="1292" t="s">
        <v>730</v>
      </c>
      <c r="E50" s="1346"/>
    </row>
    <row r="51" spans="1:5" ht="127.5">
      <c r="A51" s="1298"/>
      <c r="B51" s="1296" t="s">
        <v>652</v>
      </c>
      <c r="C51" s="1293" t="s">
        <v>667</v>
      </c>
      <c r="D51" s="1293" t="s">
        <v>734</v>
      </c>
      <c r="E51" s="1296" t="s">
        <v>735</v>
      </c>
    </row>
    <row r="52" spans="1:5" ht="38.25">
      <c r="A52" s="1299">
        <v>45082</v>
      </c>
      <c r="B52" s="1286" t="s">
        <v>1</v>
      </c>
      <c r="C52" s="1286" t="s">
        <v>725</v>
      </c>
      <c r="D52" s="1286" t="s">
        <v>727</v>
      </c>
      <c r="E52" s="1286" t="s">
        <v>726</v>
      </c>
    </row>
    <row r="53" spans="1:5" ht="25.5">
      <c r="A53" s="1319">
        <v>45617</v>
      </c>
      <c r="B53" s="1320" t="s">
        <v>629</v>
      </c>
      <c r="C53" s="1321" t="s">
        <v>755</v>
      </c>
      <c r="D53" s="1325"/>
      <c r="E53" s="1322"/>
    </row>
    <row r="54" spans="1:5">
      <c r="A54" s="1319"/>
      <c r="B54" s="1323" t="s">
        <v>728</v>
      </c>
      <c r="C54" s="1324" t="s">
        <v>756</v>
      </c>
      <c r="D54" s="1324" t="s">
        <v>757</v>
      </c>
      <c r="E54" s="1326"/>
    </row>
    <row r="55" spans="1:5">
      <c r="A55" s="1319"/>
      <c r="B55" s="1320" t="s">
        <v>642</v>
      </c>
      <c r="C55" s="1321" t="s">
        <v>758</v>
      </c>
      <c r="D55" s="1324" t="s">
        <v>759</v>
      </c>
      <c r="E55" s="1322"/>
    </row>
    <row r="56" spans="1:5" ht="38.25">
      <c r="A56" s="1322"/>
      <c r="B56" s="1323" t="s">
        <v>760</v>
      </c>
      <c r="C56" s="1324" t="s">
        <v>761</v>
      </c>
      <c r="D56" s="1324" t="s">
        <v>762</v>
      </c>
      <c r="E56" s="1326"/>
    </row>
    <row r="57" spans="1:5" ht="25.5">
      <c r="A57" s="1322"/>
      <c r="B57" s="1323" t="s">
        <v>156</v>
      </c>
      <c r="C57" s="1324" t="s">
        <v>763</v>
      </c>
      <c r="D57" s="1325"/>
      <c r="E57" s="1326"/>
    </row>
    <row r="58" spans="1:5">
      <c r="A58" s="1322"/>
      <c r="B58" s="1327" t="s">
        <v>760</v>
      </c>
      <c r="C58" s="1328" t="s">
        <v>764</v>
      </c>
      <c r="D58" s="1329"/>
      <c r="E58" s="1330"/>
    </row>
    <row r="59" spans="1:5">
      <c r="A59" s="1322"/>
      <c r="B59" s="1331" t="s">
        <v>765</v>
      </c>
      <c r="C59" s="1332" t="s">
        <v>766</v>
      </c>
      <c r="D59" s="1325"/>
      <c r="E59" s="1326"/>
    </row>
  </sheetData>
  <sheetProtection algorithmName="SHA-512" hashValue="Edm5yuYj+k5i7GSRfqqvs1+xkw/hlhrhlHMCT27SfF8cPxSdRjcF56QWtYzLw8nT1PqtjvfVI5TqDZG2SkfvfA==" saltValue="fHCNXCU4xD4+B2tsCmQwpA==" spinCount="100000" sheet="1" objects="1" scenarios="1"/>
  <mergeCells count="5">
    <mergeCell ref="A2:E2"/>
    <mergeCell ref="E26:E28"/>
    <mergeCell ref="B45:B48"/>
    <mergeCell ref="A45:A48"/>
    <mergeCell ref="E46:E50"/>
  </mergeCells>
  <pageMargins left="0.70866141732283472" right="0.70866141732283472" top="0.78740157480314965" bottom="0.78740157480314965" header="0.31496062992125984" footer="0.31496062992125984"/>
  <pageSetup paperSize="9" scale="85" fitToHeight="10" orientation="landscape"/>
  <headerFooter>
    <oddFooter>&amp;LVersion: 21.11.2024&amp;RPSK vom 07.11.2024</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T79"/>
  <sheetViews>
    <sheetView showGridLines="0" zoomScaleNormal="100" workbookViewId="0">
      <selection activeCell="L4" sqref="L4:M4"/>
    </sheetView>
  </sheetViews>
  <sheetFormatPr baseColWidth="10" defaultRowHeight="14.25"/>
  <cols>
    <col min="1" max="1" width="4.625" style="3" customWidth="1"/>
    <col min="2" max="2" width="2.375" style="3" customWidth="1"/>
    <col min="3" max="3" width="15.625" style="3" customWidth="1"/>
    <col min="4" max="4" width="10.625" style="3" customWidth="1"/>
    <col min="5" max="7" width="3.125" style="3" customWidth="1"/>
    <col min="8" max="8" width="11" style="3"/>
    <col min="9" max="9" width="4.375" style="3" customWidth="1"/>
    <col min="10" max="10" width="2.375" style="3" customWidth="1"/>
    <col min="11" max="11" width="11" style="3"/>
    <col min="12" max="12" width="7.625" style="3" customWidth="1"/>
    <col min="13" max="13" width="10.75" style="3" customWidth="1"/>
    <col min="14" max="14" width="2.625" style="3" customWidth="1"/>
    <col min="16" max="20" width="11" style="3"/>
  </cols>
  <sheetData>
    <row r="1" spans="1:20" ht="15">
      <c r="A1" s="1356" t="s">
        <v>0</v>
      </c>
      <c r="B1" s="1357"/>
      <c r="C1" s="1357"/>
      <c r="D1" s="1357"/>
      <c r="E1" s="1357"/>
      <c r="F1" s="1357"/>
      <c r="G1" s="1357"/>
      <c r="H1" s="1357"/>
      <c r="I1" s="1357"/>
      <c r="J1" s="1357"/>
      <c r="K1" s="1357"/>
      <c r="L1" s="1357"/>
      <c r="M1" s="1357"/>
      <c r="N1" s="1358"/>
      <c r="O1" s="823"/>
      <c r="P1"/>
      <c r="Q1" s="286"/>
      <c r="R1"/>
      <c r="S1"/>
      <c r="T1"/>
    </row>
    <row r="2" spans="1:20" ht="15" customHeight="1">
      <c r="A2" s="1359" t="s">
        <v>1</v>
      </c>
      <c r="B2" s="1360"/>
      <c r="C2" s="1360"/>
      <c r="D2" s="1360"/>
      <c r="E2" s="1360"/>
      <c r="F2" s="1360"/>
      <c r="G2" s="1360"/>
      <c r="H2" s="1360"/>
      <c r="I2" s="1360"/>
      <c r="J2" s="1360"/>
      <c r="K2" s="1360"/>
      <c r="L2" s="1360"/>
      <c r="M2" s="1360"/>
      <c r="N2" s="1361"/>
      <c r="O2" s="825"/>
      <c r="P2"/>
      <c r="Q2"/>
      <c r="R2"/>
      <c r="S2"/>
      <c r="T2"/>
    </row>
    <row r="3" spans="1:20" ht="15">
      <c r="A3" s="1359" t="str">
        <f>IF(D12&gt;0,CONCATENATE(D12,", ",D16),"")</f>
        <v/>
      </c>
      <c r="B3" s="1360"/>
      <c r="C3" s="1360"/>
      <c r="D3" s="1360"/>
      <c r="E3" s="1360"/>
      <c r="F3" s="1360"/>
      <c r="G3" s="1360"/>
      <c r="H3" s="1360"/>
      <c r="I3" s="1360"/>
      <c r="J3" s="1360"/>
      <c r="K3" s="1360"/>
      <c r="L3" s="1360"/>
      <c r="M3" s="1360"/>
      <c r="N3" s="1361"/>
      <c r="O3" s="61"/>
      <c r="P3"/>
      <c r="Q3"/>
      <c r="R3"/>
      <c r="S3"/>
      <c r="T3"/>
    </row>
    <row r="4" spans="1:20">
      <c r="A4" s="953" t="str">
        <f>IF(L6&gt;0,CONCATENATE("IK"," ",L6),"")</f>
        <v/>
      </c>
      <c r="B4" s="954"/>
      <c r="C4" s="954"/>
      <c r="D4" s="954"/>
      <c r="E4" s="954"/>
      <c r="F4" s="954"/>
      <c r="G4" s="954"/>
      <c r="H4" s="954"/>
      <c r="I4" s="954"/>
      <c r="J4" s="954"/>
      <c r="K4" s="954" t="s">
        <v>531</v>
      </c>
      <c r="L4" s="1369"/>
      <c r="M4" s="1369"/>
      <c r="N4" s="955"/>
      <c r="O4" s="286"/>
      <c r="P4"/>
      <c r="Q4"/>
      <c r="R4"/>
      <c r="S4"/>
      <c r="T4"/>
    </row>
    <row r="5" spans="1:20" ht="12.75" customHeight="1" thickBot="1">
      <c r="A5" s="1365">
        <v>45617</v>
      </c>
      <c r="B5" s="1366"/>
      <c r="C5" s="375"/>
      <c r="N5" s="4"/>
      <c r="P5"/>
      <c r="Q5"/>
      <c r="R5"/>
      <c r="S5"/>
      <c r="T5"/>
    </row>
    <row r="6" spans="1:20" ht="15" thickBot="1">
      <c r="A6" s="2"/>
      <c r="B6" s="5" t="s">
        <v>2</v>
      </c>
      <c r="D6" s="1362"/>
      <c r="E6" s="1363"/>
      <c r="F6" s="1363"/>
      <c r="G6" s="1364"/>
      <c r="I6" s="5"/>
      <c r="J6" s="5"/>
      <c r="K6" s="6" t="s">
        <v>4</v>
      </c>
      <c r="L6" s="1367"/>
      <c r="M6" s="1368"/>
      <c r="N6" s="4"/>
      <c r="O6" s="785"/>
      <c r="P6"/>
      <c r="Q6"/>
      <c r="R6"/>
      <c r="S6"/>
      <c r="T6"/>
    </row>
    <row r="7" spans="1:20" ht="12.75" customHeight="1">
      <c r="A7" s="2"/>
      <c r="B7" s="7"/>
      <c r="C7" s="8"/>
      <c r="D7" s="1112" t="str">
        <f>IF(D6&gt;0,IF(D6="teilstationäre Pflege","tst",IF(D6="Kurzzeitpflege","kzp","vst")),"")</f>
        <v/>
      </c>
      <c r="E7" s="1113" t="b">
        <f>IF(D6&gt;0,IF(D6="Wohnpflegeheim","WPH",""))</f>
        <v>0</v>
      </c>
      <c r="F7" s="1112" t="str">
        <f>IF(D6="4. Generation","4.","")</f>
        <v/>
      </c>
      <c r="N7" s="4"/>
      <c r="O7" s="786"/>
      <c r="P7"/>
      <c r="Q7"/>
      <c r="R7"/>
      <c r="S7"/>
      <c r="T7"/>
    </row>
    <row r="8" spans="1:20" s="1271" customFormat="1" ht="12.75" customHeight="1">
      <c r="A8" s="1279"/>
      <c r="B8" s="464"/>
      <c r="C8" s="1280"/>
      <c r="D8" s="463" t="s">
        <v>719</v>
      </c>
      <c r="E8" s="846"/>
      <c r="F8" s="846"/>
      <c r="G8" s="1284"/>
      <c r="H8" s="1348"/>
      <c r="I8" s="1348"/>
      <c r="J8" s="1348"/>
      <c r="K8" s="1348"/>
      <c r="L8" s="1281"/>
      <c r="M8" s="1281"/>
      <c r="N8" s="1282"/>
      <c r="O8" s="1283"/>
    </row>
    <row r="9" spans="1:20" ht="12.75" customHeight="1">
      <c r="A9" s="2"/>
      <c r="B9" s="7"/>
      <c r="C9" s="8"/>
      <c r="D9" s="9"/>
      <c r="H9" s="1285">
        <f>IF(H8="solitär",1,2)</f>
        <v>2</v>
      </c>
      <c r="I9" s="1226"/>
      <c r="J9" s="1118" t="str">
        <f>IF(AND(D7="kzp",H8=""),"Bitte Form der Kurzeitpflege angeben.","")</f>
        <v/>
      </c>
      <c r="N9" s="4"/>
      <c r="P9"/>
      <c r="Q9"/>
      <c r="R9"/>
      <c r="S9"/>
      <c r="T9"/>
    </row>
    <row r="10" spans="1:20">
      <c r="A10" s="2"/>
      <c r="B10" s="159" t="s">
        <v>5</v>
      </c>
      <c r="C10" s="134"/>
      <c r="D10" s="134"/>
      <c r="E10" s="134"/>
      <c r="F10" s="134"/>
      <c r="G10" s="134"/>
      <c r="H10" s="134"/>
      <c r="I10" s="134"/>
      <c r="J10" s="134"/>
      <c r="K10" s="134"/>
      <c r="L10" s="134"/>
      <c r="M10" s="134"/>
      <c r="N10" s="4"/>
      <c r="O10" s="787"/>
      <c r="P10"/>
      <c r="Q10"/>
      <c r="R10"/>
      <c r="S10"/>
      <c r="T10"/>
    </row>
    <row r="11" spans="1:20" ht="12.75" customHeight="1">
      <c r="A11" s="2"/>
      <c r="D11" s="853" t="str">
        <f>IF(AND(D6=0,D12&lt;&gt;0),"bitte wählen Sie noch die Art der Einrichtung aus","")</f>
        <v/>
      </c>
      <c r="N11" s="4"/>
      <c r="O11" s="10"/>
      <c r="P11"/>
      <c r="Q11"/>
      <c r="R11"/>
      <c r="S11"/>
      <c r="T11"/>
    </row>
    <row r="12" spans="1:20">
      <c r="A12" s="2"/>
      <c r="B12" s="11" t="s">
        <v>203</v>
      </c>
      <c r="D12" s="1374"/>
      <c r="E12" s="1355"/>
      <c r="F12" s="1355"/>
      <c r="G12" s="1355"/>
      <c r="H12" s="1355"/>
      <c r="I12" s="1355"/>
      <c r="J12" s="1355"/>
      <c r="K12" s="1355"/>
      <c r="L12" s="1355"/>
      <c r="M12" s="1355"/>
      <c r="N12" s="12"/>
      <c r="O12" s="804"/>
      <c r="P12"/>
      <c r="Q12"/>
      <c r="R12"/>
      <c r="S12"/>
      <c r="T12"/>
    </row>
    <row r="13" spans="1:20">
      <c r="A13" s="2"/>
      <c r="D13" s="13" t="s">
        <v>6</v>
      </c>
      <c r="E13" s="13"/>
      <c r="J13" s="13"/>
      <c r="K13" s="13"/>
      <c r="L13" s="13"/>
      <c r="M13" s="13"/>
      <c r="N13" s="14"/>
      <c r="P13"/>
      <c r="Q13"/>
      <c r="R13"/>
      <c r="S13"/>
      <c r="T13"/>
    </row>
    <row r="14" spans="1:20">
      <c r="A14" s="2"/>
      <c r="D14" s="1374"/>
      <c r="E14" s="1355"/>
      <c r="F14" s="1355"/>
      <c r="G14" s="1355"/>
      <c r="H14" s="1355"/>
      <c r="I14" s="1355"/>
      <c r="J14" s="1355"/>
      <c r="K14" s="1355"/>
      <c r="L14" s="1355"/>
      <c r="M14" s="1355"/>
      <c r="N14" s="4"/>
      <c r="P14"/>
      <c r="Q14"/>
      <c r="R14"/>
      <c r="S14"/>
      <c r="T14"/>
    </row>
    <row r="15" spans="1:20">
      <c r="A15" s="2"/>
      <c r="D15" s="13" t="s">
        <v>7</v>
      </c>
      <c r="E15" s="13"/>
      <c r="N15" s="4"/>
      <c r="O15" s="817"/>
      <c r="P15"/>
      <c r="Q15"/>
      <c r="R15"/>
      <c r="S15"/>
      <c r="T15"/>
    </row>
    <row r="16" spans="1:20">
      <c r="A16" s="2"/>
      <c r="D16" s="1374"/>
      <c r="E16" s="1355"/>
      <c r="F16" s="1355"/>
      <c r="G16" s="1355"/>
      <c r="H16" s="1355"/>
      <c r="I16" s="1355"/>
      <c r="J16" s="1355"/>
      <c r="K16" s="1355"/>
      <c r="L16" s="1355"/>
      <c r="M16" s="1355"/>
      <c r="N16" s="4"/>
      <c r="O16" s="845"/>
      <c r="P16"/>
      <c r="Q16"/>
      <c r="R16"/>
      <c r="S16"/>
      <c r="T16"/>
    </row>
    <row r="17" spans="1:20">
      <c r="A17" s="2"/>
      <c r="D17" s="13" t="s">
        <v>8</v>
      </c>
      <c r="E17" s="13"/>
      <c r="N17" s="4"/>
      <c r="P17"/>
      <c r="Q17"/>
      <c r="R17"/>
      <c r="S17"/>
      <c r="T17"/>
    </row>
    <row r="18" spans="1:20">
      <c r="A18" s="2"/>
      <c r="D18" s="1350"/>
      <c r="E18" s="1354"/>
      <c r="F18" s="1354"/>
      <c r="G18" s="1354"/>
      <c r="H18" s="1355"/>
      <c r="J18" s="1351"/>
      <c r="K18" s="1352"/>
      <c r="L18" s="1352"/>
      <c r="M18" s="1352"/>
      <c r="N18" s="4"/>
      <c r="P18"/>
      <c r="Q18"/>
      <c r="R18"/>
      <c r="S18"/>
      <c r="T18"/>
    </row>
    <row r="19" spans="1:20">
      <c r="A19" s="2"/>
      <c r="D19" s="13" t="s">
        <v>9</v>
      </c>
      <c r="E19" s="13"/>
      <c r="J19" s="13" t="s">
        <v>10</v>
      </c>
      <c r="K19" s="13"/>
      <c r="L19" s="13"/>
      <c r="N19" s="4"/>
      <c r="P19"/>
      <c r="Q19"/>
      <c r="R19"/>
      <c r="S19"/>
      <c r="T19"/>
    </row>
    <row r="20" spans="1:20">
      <c r="A20" s="2"/>
      <c r="D20" s="1353"/>
      <c r="E20" s="1354"/>
      <c r="F20" s="1354"/>
      <c r="G20" s="1354"/>
      <c r="H20" s="1355"/>
      <c r="J20" s="1373"/>
      <c r="K20" s="1352"/>
      <c r="L20" s="1352"/>
      <c r="M20" s="1352"/>
      <c r="N20" s="4"/>
      <c r="P20"/>
      <c r="Q20"/>
      <c r="R20" s="587"/>
      <c r="S20"/>
      <c r="T20"/>
    </row>
    <row r="21" spans="1:20">
      <c r="A21" s="2"/>
      <c r="D21" s="13" t="s">
        <v>11</v>
      </c>
      <c r="E21" s="13"/>
      <c r="J21" s="15" t="s">
        <v>205</v>
      </c>
      <c r="N21" s="4"/>
      <c r="P21"/>
      <c r="Q21"/>
      <c r="R21"/>
      <c r="S21"/>
      <c r="T21"/>
    </row>
    <row r="22" spans="1:20" ht="14.25" customHeight="1">
      <c r="A22" s="2"/>
      <c r="D22" s="1350"/>
      <c r="E22" s="1354"/>
      <c r="F22" s="1354"/>
      <c r="G22" s="1354"/>
      <c r="H22" s="1355"/>
      <c r="J22" s="1350"/>
      <c r="K22" s="1350"/>
      <c r="L22" s="1350"/>
      <c r="M22" s="1350"/>
      <c r="N22" s="4"/>
      <c r="P22"/>
      <c r="Q22"/>
      <c r="R22"/>
      <c r="S22"/>
      <c r="T22"/>
    </row>
    <row r="23" spans="1:20">
      <c r="A23" s="2"/>
      <c r="D23" s="13" t="s">
        <v>204</v>
      </c>
      <c r="E23" s="13"/>
      <c r="J23" s="13" t="s">
        <v>12</v>
      </c>
      <c r="K23" s="13"/>
      <c r="L23" s="13"/>
      <c r="N23" s="4"/>
      <c r="P23"/>
      <c r="Q23"/>
      <c r="R23"/>
      <c r="S23"/>
      <c r="T23"/>
    </row>
    <row r="24" spans="1:20" ht="12.75" customHeight="1">
      <c r="A24" s="2"/>
      <c r="D24" s="13"/>
      <c r="E24" s="13"/>
      <c r="J24" s="15"/>
      <c r="N24" s="4"/>
      <c r="P24"/>
      <c r="Q24"/>
      <c r="R24"/>
      <c r="S24"/>
      <c r="T24"/>
    </row>
    <row r="25" spans="1:20" ht="12.75" customHeight="1">
      <c r="A25" s="2"/>
      <c r="D25" s="13"/>
      <c r="E25" s="13"/>
      <c r="N25" s="4"/>
      <c r="P25"/>
      <c r="Q25"/>
      <c r="R25"/>
      <c r="S25"/>
      <c r="T25"/>
    </row>
    <row r="26" spans="1:20">
      <c r="A26" s="2"/>
      <c r="B26" s="11" t="s">
        <v>13</v>
      </c>
      <c r="D26" s="1349"/>
      <c r="E26" s="1349"/>
      <c r="F26" s="1349"/>
      <c r="G26" s="1349"/>
      <c r="H26" s="1349"/>
      <c r="I26" s="1349"/>
      <c r="J26" s="1349"/>
      <c r="K26" s="1349"/>
      <c r="L26" s="1349"/>
      <c r="M26" s="1349"/>
      <c r="N26" s="4"/>
      <c r="P26"/>
      <c r="Q26"/>
      <c r="R26"/>
      <c r="S26"/>
      <c r="T26"/>
    </row>
    <row r="27" spans="1:20">
      <c r="A27" s="2"/>
      <c r="D27" s="13" t="s">
        <v>14</v>
      </c>
      <c r="E27" s="13"/>
      <c r="N27" s="4"/>
      <c r="P27"/>
      <c r="Q27"/>
      <c r="R27"/>
      <c r="S27"/>
      <c r="T27"/>
    </row>
    <row r="28" spans="1:20">
      <c r="A28" s="2"/>
      <c r="D28" s="1374"/>
      <c r="E28" s="1355"/>
      <c r="F28" s="1355"/>
      <c r="G28" s="1355"/>
      <c r="H28" s="1355"/>
      <c r="I28" s="1355"/>
      <c r="J28" s="1355"/>
      <c r="K28" s="1355"/>
      <c r="L28" s="1355"/>
      <c r="M28" s="1355"/>
      <c r="N28" s="4"/>
      <c r="P28"/>
      <c r="Q28"/>
      <c r="R28"/>
      <c r="S28"/>
      <c r="T28"/>
    </row>
    <row r="29" spans="1:20" ht="14.25" customHeight="1">
      <c r="A29" s="2"/>
      <c r="D29" s="13" t="s">
        <v>7</v>
      </c>
      <c r="E29" s="13"/>
      <c r="N29" s="4"/>
      <c r="P29"/>
      <c r="Q29"/>
      <c r="R29"/>
      <c r="S29"/>
      <c r="T29"/>
    </row>
    <row r="30" spans="1:20">
      <c r="A30" s="2"/>
      <c r="D30" s="1351"/>
      <c r="E30" s="1352"/>
      <c r="F30" s="1352"/>
      <c r="G30" s="1352"/>
      <c r="H30" s="1352"/>
      <c r="I30" s="1352"/>
      <c r="J30" s="1352"/>
      <c r="K30" s="1352"/>
      <c r="L30" s="1352"/>
      <c r="M30" s="1352"/>
      <c r="N30" s="4"/>
      <c r="P30"/>
      <c r="Q30"/>
      <c r="R30"/>
      <c r="S30"/>
      <c r="T30"/>
    </row>
    <row r="31" spans="1:20">
      <c r="A31" s="2"/>
      <c r="D31" s="13" t="s">
        <v>8</v>
      </c>
      <c r="E31" s="13"/>
      <c r="N31" s="4"/>
      <c r="P31"/>
      <c r="Q31"/>
      <c r="R31"/>
      <c r="S31"/>
      <c r="T31"/>
    </row>
    <row r="32" spans="1:20">
      <c r="A32" s="2"/>
      <c r="D32" s="1350"/>
      <c r="E32" s="1354"/>
      <c r="F32" s="1354"/>
      <c r="G32" s="1354"/>
      <c r="H32" s="1355"/>
      <c r="J32" s="1351"/>
      <c r="K32" s="1352"/>
      <c r="L32" s="1352"/>
      <c r="M32" s="1352"/>
      <c r="N32" s="4"/>
      <c r="P32"/>
      <c r="Q32"/>
      <c r="R32"/>
      <c r="S32"/>
      <c r="T32"/>
    </row>
    <row r="33" spans="1:20">
      <c r="A33" s="2"/>
      <c r="D33" s="13" t="s">
        <v>9</v>
      </c>
      <c r="E33" s="13"/>
      <c r="J33" s="13" t="s">
        <v>10</v>
      </c>
      <c r="K33" s="13"/>
      <c r="L33" s="13"/>
      <c r="M33" s="13"/>
      <c r="N33" s="14"/>
      <c r="P33"/>
      <c r="Q33"/>
      <c r="R33"/>
      <c r="S33"/>
      <c r="T33"/>
    </row>
    <row r="34" spans="1:20">
      <c r="A34" s="2"/>
      <c r="D34" s="1353"/>
      <c r="E34" s="1354"/>
      <c r="F34" s="1354"/>
      <c r="G34" s="1354"/>
      <c r="H34" s="1355"/>
      <c r="J34" s="1373"/>
      <c r="K34" s="1352"/>
      <c r="L34" s="1352"/>
      <c r="M34" s="1352"/>
      <c r="N34" s="4"/>
    </row>
    <row r="35" spans="1:20">
      <c r="A35" s="2"/>
      <c r="D35" s="13" t="s">
        <v>11</v>
      </c>
      <c r="E35" s="13"/>
      <c r="J35" s="15" t="s">
        <v>205</v>
      </c>
      <c r="N35" s="4"/>
    </row>
    <row r="36" spans="1:20">
      <c r="A36" s="2"/>
      <c r="D36" s="1374"/>
      <c r="E36" s="1355"/>
      <c r="F36" s="1355"/>
      <c r="G36" s="1355"/>
      <c r="H36" s="1355"/>
      <c r="I36" s="1355"/>
      <c r="J36" s="1355"/>
      <c r="K36" s="1355"/>
      <c r="L36" s="1355"/>
      <c r="M36" s="1355"/>
      <c r="N36" s="4"/>
      <c r="O36" s="817"/>
    </row>
    <row r="37" spans="1:20">
      <c r="A37" s="2"/>
      <c r="D37" s="13" t="s">
        <v>508</v>
      </c>
      <c r="E37" s="13"/>
      <c r="J37" s="15"/>
      <c r="N37" s="4"/>
    </row>
    <row r="38" spans="1:20" ht="12.75" customHeight="1">
      <c r="A38" s="2"/>
      <c r="D38" s="13"/>
      <c r="E38" s="13"/>
      <c r="N38" s="4"/>
    </row>
    <row r="39" spans="1:20">
      <c r="A39" s="2"/>
      <c r="B39" s="159" t="s">
        <v>15</v>
      </c>
      <c r="C39" s="134"/>
      <c r="D39" s="298"/>
      <c r="E39" s="298"/>
      <c r="F39" s="134"/>
      <c r="G39" s="134"/>
      <c r="H39" s="134"/>
      <c r="I39" s="134"/>
      <c r="J39" s="134"/>
      <c r="K39" s="134"/>
      <c r="L39" s="134"/>
      <c r="M39" s="134"/>
      <c r="N39" s="4"/>
    </row>
    <row r="40" spans="1:20" ht="6" customHeight="1">
      <c r="A40" s="2"/>
      <c r="D40" s="13"/>
      <c r="E40" s="13"/>
      <c r="N40" s="4"/>
    </row>
    <row r="41" spans="1:20">
      <c r="A41" s="2"/>
      <c r="C41" s="857"/>
      <c r="E41" s="11"/>
      <c r="G41" s="17" t="s">
        <v>16</v>
      </c>
      <c r="H41" s="1375"/>
      <c r="I41" s="1355"/>
      <c r="J41" s="1355"/>
      <c r="K41" s="1355"/>
      <c r="L41" s="1355"/>
      <c r="M41" s="1355"/>
      <c r="N41" s="4"/>
    </row>
    <row r="42" spans="1:20" ht="6" customHeight="1">
      <c r="A42" s="2"/>
      <c r="D42" s="13"/>
      <c r="E42" s="13"/>
      <c r="N42" s="4"/>
    </row>
    <row r="43" spans="1:20" s="3" customFormat="1" ht="12.75" customHeight="1">
      <c r="A43" s="2"/>
      <c r="B43" s="11" t="s">
        <v>17</v>
      </c>
      <c r="D43" s="13"/>
      <c r="E43" s="13"/>
      <c r="I43" s="18"/>
      <c r="N43" s="4"/>
      <c r="O43" s="10"/>
    </row>
    <row r="44" spans="1:20" s="3" customFormat="1" ht="12.75" customHeight="1" thickBot="1">
      <c r="A44" s="2"/>
      <c r="B44" s="11"/>
      <c r="D44" s="13"/>
      <c r="E44" s="13"/>
      <c r="I44" s="1271"/>
      <c r="N44" s="4"/>
      <c r="O44" s="10"/>
    </row>
    <row r="45" spans="1:20" s="3" customFormat="1" ht="12.75" customHeight="1" thickBot="1">
      <c r="A45" s="2"/>
      <c r="B45" s="16" t="s">
        <v>697</v>
      </c>
      <c r="D45" s="13"/>
      <c r="E45" s="13"/>
      <c r="H45" s="1224"/>
      <c r="I45" s="1271"/>
      <c r="K45" s="1225">
        <f>DATEDIF(H45,H51,"m")</f>
        <v>0</v>
      </c>
      <c r="L45" s="1226"/>
      <c r="N45" s="4"/>
      <c r="O45" s="1233"/>
      <c r="P45" s="25"/>
    </row>
    <row r="46" spans="1:20" ht="12.75" customHeight="1" thickBot="1">
      <c r="A46" s="2"/>
      <c r="D46" s="13"/>
      <c r="E46" s="13"/>
      <c r="K46" s="1118" t="str">
        <f>IF(AND(H45="",H51&lt;&gt;""),"Bitte Erfassung des Zulassungsdatums!","")</f>
        <v/>
      </c>
      <c r="N46" s="4"/>
    </row>
    <row r="47" spans="1:20" ht="15" thickBot="1">
      <c r="A47" s="2"/>
      <c r="B47" s="16" t="s">
        <v>18</v>
      </c>
      <c r="L47" s="292"/>
      <c r="N47" s="4"/>
      <c r="P47" s="1234"/>
    </row>
    <row r="48" spans="1:20" ht="12.75" customHeight="1" thickBot="1">
      <c r="A48" s="2"/>
      <c r="B48" s="16"/>
      <c r="L48" s="925"/>
      <c r="N48" s="4"/>
      <c r="O48" s="785"/>
      <c r="P48" s="787"/>
      <c r="Q48" s="788"/>
    </row>
    <row r="49" spans="1:20" ht="12.75" customHeight="1" thickBot="1">
      <c r="A49" s="19"/>
      <c r="B49" s="20" t="s">
        <v>19</v>
      </c>
      <c r="C49" s="21"/>
      <c r="D49" s="21"/>
      <c r="E49" s="22"/>
      <c r="F49" s="23"/>
      <c r="G49" s="23"/>
      <c r="H49" s="1224"/>
      <c r="L49" s="17" t="s">
        <v>20</v>
      </c>
      <c r="M49" s="18"/>
      <c r="N49" s="24"/>
      <c r="O49" s="785"/>
      <c r="P49" s="787"/>
      <c r="Q49" s="789"/>
      <c r="R49" s="25"/>
    </row>
    <row r="50" spans="1:20" ht="12.75" customHeight="1" thickBot="1">
      <c r="A50" s="2"/>
      <c r="B50" s="16"/>
      <c r="N50" s="4"/>
      <c r="O50" s="785"/>
    </row>
    <row r="51" spans="1:20" s="1" customFormat="1" ht="13.5" thickBot="1">
      <c r="A51" s="26"/>
      <c r="B51" s="20" t="s">
        <v>21</v>
      </c>
      <c r="E51" s="27"/>
      <c r="F51" s="1376" t="s">
        <v>22</v>
      </c>
      <c r="G51" s="1376"/>
      <c r="H51" s="293"/>
      <c r="I51" s="295"/>
      <c r="J51" s="296" t="s">
        <v>23</v>
      </c>
      <c r="K51" s="294"/>
      <c r="N51" s="28"/>
      <c r="P51" s="11"/>
      <c r="Q51" s="11"/>
      <c r="R51" s="11"/>
      <c r="S51" s="11"/>
      <c r="T51" s="11"/>
    </row>
    <row r="52" spans="1:20" s="1" customFormat="1" ht="12.75">
      <c r="A52" s="26"/>
      <c r="B52" s="20"/>
      <c r="E52" s="27"/>
      <c r="F52" s="737"/>
      <c r="G52" s="737"/>
      <c r="H52" s="1287"/>
      <c r="I52" s="1275"/>
      <c r="J52" s="1276"/>
      <c r="K52" s="1288"/>
      <c r="N52" s="28"/>
      <c r="P52" s="11"/>
      <c r="Q52" s="11"/>
      <c r="R52" s="11"/>
      <c r="S52" s="11"/>
      <c r="T52" s="11"/>
    </row>
    <row r="53" spans="1:20" s="1" customFormat="1" ht="12.75">
      <c r="A53" s="26"/>
      <c r="B53" s="20" t="s">
        <v>713</v>
      </c>
      <c r="E53" s="27"/>
      <c r="F53" s="1347" t="s">
        <v>714</v>
      </c>
      <c r="G53" s="1347"/>
      <c r="H53" s="370"/>
      <c r="I53" s="295"/>
      <c r="J53" s="1278" t="s">
        <v>23</v>
      </c>
      <c r="K53" s="1277"/>
      <c r="N53" s="28"/>
      <c r="P53" s="11"/>
      <c r="Q53" s="11"/>
      <c r="R53" s="11"/>
      <c r="S53" s="11"/>
      <c r="T53" s="11"/>
    </row>
    <row r="54" spans="1:20" ht="12.75" customHeight="1">
      <c r="A54" s="2"/>
      <c r="B54" s="16"/>
      <c r="N54" s="4"/>
    </row>
    <row r="55" spans="1:20" ht="12.75" customHeight="1">
      <c r="A55" s="29"/>
      <c r="B55" s="116" t="s">
        <v>239</v>
      </c>
      <c r="C55" s="299"/>
      <c r="D55" s="299"/>
      <c r="E55" s="299"/>
      <c r="F55" s="299"/>
      <c r="G55" s="299"/>
      <c r="H55" s="299"/>
      <c r="I55" s="299"/>
      <c r="J55" s="299"/>
      <c r="K55" s="299"/>
      <c r="L55" s="299"/>
      <c r="M55" s="299"/>
      <c r="N55" s="24"/>
    </row>
    <row r="56" spans="1:20" ht="6.75" customHeight="1">
      <c r="A56" s="29"/>
      <c r="B56" s="20"/>
      <c r="C56"/>
      <c r="D56"/>
      <c r="E56"/>
      <c r="F56"/>
      <c r="G56"/>
      <c r="H56"/>
      <c r="I56"/>
      <c r="J56"/>
      <c r="K56"/>
      <c r="L56"/>
      <c r="M56"/>
      <c r="N56" s="24"/>
    </row>
    <row r="57" spans="1:20" ht="15" customHeight="1">
      <c r="A57" s="29"/>
      <c r="B57"/>
      <c r="C57" s="364" t="s">
        <v>236</v>
      </c>
      <c r="D57" s="30"/>
      <c r="E57" s="31"/>
      <c r="F57" s="31"/>
      <c r="G57" s="377"/>
      <c r="H57" s="32"/>
      <c r="I57" s="379"/>
      <c r="J57" s="33"/>
      <c r="K57" s="34"/>
      <c r="L57" s="30"/>
      <c r="M57" s="34"/>
      <c r="N57" s="4"/>
      <c r="O57" s="56"/>
    </row>
    <row r="58" spans="1:20" s="1" customFormat="1" ht="14.25" customHeight="1">
      <c r="A58" s="26"/>
      <c r="C58" s="35" t="s">
        <v>24</v>
      </c>
      <c r="D58" s="36"/>
      <c r="E58" s="36"/>
      <c r="F58" s="36"/>
      <c r="G58" s="36"/>
      <c r="H58" s="368" t="s">
        <v>240</v>
      </c>
      <c r="I58" s="36"/>
      <c r="J58" s="36"/>
      <c r="K58" s="366"/>
      <c r="M58" s="28"/>
      <c r="N58" s="28"/>
      <c r="P58" s="11"/>
      <c r="Q58" s="11"/>
      <c r="R58" s="11"/>
      <c r="S58" s="11"/>
      <c r="T58" s="11"/>
    </row>
    <row r="59" spans="1:20" s="1" customFormat="1" ht="14.25" customHeight="1">
      <c r="A59" s="26"/>
      <c r="C59" s="35" t="s">
        <v>25</v>
      </c>
      <c r="D59" s="36"/>
      <c r="E59" s="36"/>
      <c r="F59" s="36"/>
      <c r="G59" s="36"/>
      <c r="H59" s="368" t="s">
        <v>240</v>
      </c>
      <c r="I59" s="36"/>
      <c r="J59" s="36"/>
      <c r="K59" s="367"/>
      <c r="L59" s="378"/>
      <c r="M59" s="376"/>
      <c r="N59" s="28"/>
      <c r="P59" s="11"/>
      <c r="Q59" s="11"/>
      <c r="R59" s="11"/>
      <c r="S59" s="11"/>
      <c r="T59" s="11"/>
    </row>
    <row r="60" spans="1:20" s="1" customFormat="1" ht="14.25" customHeight="1">
      <c r="A60" s="26"/>
      <c r="C60" s="35" t="s">
        <v>26</v>
      </c>
      <c r="D60" s="36"/>
      <c r="E60" s="36"/>
      <c r="F60" s="36"/>
      <c r="G60" s="36"/>
      <c r="H60" s="368" t="s">
        <v>240</v>
      </c>
      <c r="I60" s="36"/>
      <c r="J60" s="36"/>
      <c r="K60" s="367"/>
      <c r="L60" s="378"/>
      <c r="M60" s="376"/>
      <c r="N60" s="28"/>
      <c r="P60" s="11"/>
      <c r="Q60" s="11"/>
      <c r="R60" s="11"/>
      <c r="S60" s="11"/>
      <c r="T60" s="11"/>
    </row>
    <row r="61" spans="1:20" s="1" customFormat="1" ht="14.25" customHeight="1">
      <c r="A61" s="26"/>
      <c r="C61" s="35" t="s">
        <v>27</v>
      </c>
      <c r="D61" s="36"/>
      <c r="E61" s="36"/>
      <c r="F61" s="36"/>
      <c r="G61" s="36"/>
      <c r="H61" s="368" t="s">
        <v>240</v>
      </c>
      <c r="I61" s="36"/>
      <c r="J61" s="36"/>
      <c r="K61" s="366"/>
      <c r="L61" s="378"/>
      <c r="M61" s="376"/>
      <c r="N61" s="28"/>
      <c r="P61" s="11"/>
      <c r="Q61" s="11"/>
      <c r="R61" s="11"/>
      <c r="S61" s="11"/>
      <c r="T61" s="11"/>
    </row>
    <row r="62" spans="1:20" s="1" customFormat="1" ht="14.25" customHeight="1">
      <c r="A62" s="26"/>
      <c r="C62" s="35" t="s">
        <v>28</v>
      </c>
      <c r="D62" s="36"/>
      <c r="E62" s="36"/>
      <c r="F62" s="36"/>
      <c r="G62" s="36"/>
      <c r="H62" s="368" t="s">
        <v>240</v>
      </c>
      <c r="I62" s="36"/>
      <c r="J62" s="36"/>
      <c r="K62" s="366"/>
      <c r="L62" s="378"/>
      <c r="M62" s="376"/>
      <c r="N62" s="28"/>
      <c r="P62" s="11"/>
      <c r="Q62" s="11"/>
      <c r="R62" s="11"/>
      <c r="S62" s="11"/>
      <c r="T62" s="11"/>
    </row>
    <row r="63" spans="1:20" s="1" customFormat="1" ht="14.25" customHeight="1">
      <c r="A63" s="26"/>
      <c r="C63" s="35" t="s">
        <v>29</v>
      </c>
      <c r="D63" s="36"/>
      <c r="E63" s="36"/>
      <c r="F63" s="36"/>
      <c r="G63" s="36"/>
      <c r="H63" s="368" t="s">
        <v>240</v>
      </c>
      <c r="I63" s="36"/>
      <c r="J63" s="36"/>
      <c r="K63" s="366"/>
      <c r="L63" s="378"/>
      <c r="M63" s="376"/>
      <c r="N63" s="28"/>
      <c r="P63" s="11"/>
      <c r="Q63" s="11"/>
      <c r="R63" s="11"/>
      <c r="S63" s="11"/>
      <c r="T63" s="11"/>
    </row>
    <row r="64" spans="1:20" s="1" customFormat="1" ht="14.25" customHeight="1">
      <c r="A64" s="26"/>
      <c r="C64" s="37" t="s">
        <v>30</v>
      </c>
      <c r="D64" s="38"/>
      <c r="E64" s="38"/>
      <c r="F64" s="38"/>
      <c r="G64" s="43"/>
      <c r="H64" s="42" t="s">
        <v>240</v>
      </c>
      <c r="I64" s="381"/>
      <c r="J64" s="381"/>
      <c r="K64" s="366"/>
      <c r="L64" s="378"/>
      <c r="M64" s="376"/>
      <c r="N64" s="28"/>
      <c r="P64" s="11"/>
      <c r="Q64" s="11"/>
      <c r="R64" s="11"/>
      <c r="S64" s="11"/>
      <c r="T64" s="11"/>
    </row>
    <row r="65" spans="1:20" s="1" customFormat="1" ht="7.5" customHeight="1">
      <c r="A65" s="26"/>
      <c r="C65" s="39"/>
      <c r="D65" s="11"/>
      <c r="E65" s="11"/>
      <c r="F65" s="11"/>
      <c r="H65" s="11"/>
      <c r="I65" s="11"/>
      <c r="J65" s="11"/>
      <c r="K65" s="380"/>
      <c r="M65" s="28"/>
      <c r="N65" s="28"/>
      <c r="P65" s="11"/>
      <c r="Q65" s="11"/>
      <c r="R65" s="11"/>
      <c r="S65" s="11"/>
      <c r="T65" s="11"/>
    </row>
    <row r="66" spans="1:20" s="1" customFormat="1" ht="12.75" customHeight="1">
      <c r="A66" s="26"/>
      <c r="C66" s="37"/>
      <c r="D66" s="38"/>
      <c r="E66" s="40"/>
      <c r="F66" s="40"/>
      <c r="G66" s="43"/>
      <c r="H66" s="41" t="s">
        <v>238</v>
      </c>
      <c r="I66" s="43"/>
      <c r="J66" s="42"/>
      <c r="K66" s="369"/>
      <c r="L66" s="844"/>
      <c r="M66" s="44"/>
      <c r="N66" s="28"/>
      <c r="O66" s="845"/>
      <c r="P66" s="11"/>
      <c r="Q66" s="11"/>
      <c r="R66" s="11"/>
      <c r="S66" s="11"/>
      <c r="T66" s="11"/>
    </row>
    <row r="67" spans="1:20" s="1" customFormat="1" ht="12.75" customHeight="1">
      <c r="A67" s="26"/>
      <c r="C67" s="11"/>
      <c r="D67" s="11"/>
      <c r="E67" s="45"/>
      <c r="F67" s="45"/>
      <c r="G67" s="45"/>
      <c r="H67" s="45"/>
      <c r="I67" s="45"/>
      <c r="J67" s="45"/>
      <c r="K67" s="1274" t="str">
        <f>IF(AND(H51&gt;0,K66&lt;5),"Mappe 'Allgemeine Angaben' und Mappe 'Forderung' an den KSV senden!","")</f>
        <v/>
      </c>
      <c r="L67" s="45"/>
      <c r="M67" s="11"/>
      <c r="N67" s="46"/>
      <c r="P67" s="11"/>
      <c r="Q67" s="11"/>
      <c r="R67" s="11"/>
      <c r="S67" s="11"/>
      <c r="T67" s="11"/>
    </row>
    <row r="68" spans="1:20" s="1" customFormat="1" ht="12.75" customHeight="1">
      <c r="A68" s="26"/>
      <c r="C68" s="11"/>
      <c r="D68" s="11"/>
      <c r="E68" s="45"/>
      <c r="F68" s="45"/>
      <c r="G68" s="45"/>
      <c r="H68" s="45"/>
      <c r="I68" s="45"/>
      <c r="J68" s="45"/>
      <c r="K68" s="854"/>
      <c r="L68" s="45"/>
      <c r="M68" s="11"/>
      <c r="N68" s="46"/>
      <c r="P68" s="11"/>
      <c r="Q68" s="11"/>
      <c r="R68" s="11"/>
      <c r="S68" s="11"/>
      <c r="T68" s="11"/>
    </row>
    <row r="69" spans="1:20" s="1" customFormat="1" ht="12.75" customHeight="1">
      <c r="A69" s="26"/>
      <c r="B69" s="300" t="s">
        <v>611</v>
      </c>
      <c r="C69" s="167"/>
      <c r="D69" s="167"/>
      <c r="E69" s="179"/>
      <c r="F69" s="179"/>
      <c r="G69" s="179"/>
      <c r="H69" s="179"/>
      <c r="I69" s="179"/>
      <c r="J69" s="179"/>
      <c r="K69" s="179"/>
      <c r="L69" s="179"/>
      <c r="M69" s="167"/>
      <c r="N69" s="46"/>
      <c r="P69" s="11"/>
      <c r="Q69" s="11"/>
      <c r="R69" s="11"/>
      <c r="S69" s="11"/>
      <c r="T69" s="11"/>
    </row>
    <row r="70" spans="1:20" s="1" customFormat="1" ht="9.9499999999999993" customHeight="1">
      <c r="A70" s="26"/>
      <c r="C70" s="11"/>
      <c r="D70" s="11"/>
      <c r="E70" s="45"/>
      <c r="F70" s="45"/>
      <c r="G70" s="45"/>
      <c r="H70" s="45"/>
      <c r="I70" s="45"/>
      <c r="J70" s="45"/>
      <c r="K70" s="45"/>
      <c r="L70" s="45"/>
      <c r="M70" s="11"/>
      <c r="N70" s="46"/>
      <c r="P70" s="11"/>
      <c r="Q70" s="11"/>
      <c r="R70" s="11"/>
      <c r="S70" s="11"/>
      <c r="T70" s="11"/>
    </row>
    <row r="71" spans="1:20" s="1" customFormat="1" ht="12.75" customHeight="1">
      <c r="A71" s="26"/>
      <c r="B71" s="1170" t="s">
        <v>612</v>
      </c>
      <c r="C71" s="11"/>
      <c r="D71" s="11"/>
      <c r="E71" s="11"/>
      <c r="F71" s="11"/>
      <c r="G71" s="11"/>
      <c r="H71" s="11"/>
      <c r="I71" s="11"/>
      <c r="J71" s="11"/>
      <c r="K71" s="11"/>
      <c r="L71" s="48"/>
      <c r="M71" s="182"/>
      <c r="N71" s="46"/>
      <c r="P71" s="11"/>
      <c r="Q71" s="11"/>
      <c r="R71" s="11"/>
      <c r="S71" s="11"/>
      <c r="T71" s="11"/>
    </row>
    <row r="72" spans="1:20" s="1" customFormat="1" ht="3" customHeight="1">
      <c r="A72" s="26"/>
      <c r="C72" s="11"/>
      <c r="D72" s="11"/>
      <c r="E72" s="11"/>
      <c r="F72" s="11"/>
      <c r="G72" s="11"/>
      <c r="H72" s="11"/>
      <c r="I72" s="11"/>
      <c r="J72" s="11"/>
      <c r="K72" s="11"/>
      <c r="M72" s="217"/>
      <c r="N72" s="46"/>
      <c r="P72" s="11"/>
      <c r="Q72" s="11"/>
      <c r="R72" s="11"/>
      <c r="S72" s="11"/>
      <c r="T72" s="11"/>
    </row>
    <row r="73" spans="1:20" s="1" customFormat="1" ht="12.75" customHeight="1">
      <c r="A73" s="26"/>
      <c r="B73" s="1239" t="s">
        <v>613</v>
      </c>
      <c r="C73" s="11"/>
      <c r="D73" s="11"/>
      <c r="E73" s="11"/>
      <c r="F73" s="11"/>
      <c r="G73" s="11"/>
      <c r="H73" s="11"/>
      <c r="I73" s="11"/>
      <c r="J73" s="11"/>
      <c r="K73" s="11"/>
      <c r="L73" s="48"/>
      <c r="M73" s="182"/>
      <c r="N73" s="46"/>
      <c r="P73" s="11"/>
      <c r="Q73" s="11"/>
      <c r="R73" s="11"/>
      <c r="S73" s="11"/>
      <c r="T73" s="11"/>
    </row>
    <row r="74" spans="1:20" s="1" customFormat="1" ht="3" customHeight="1">
      <c r="A74" s="26"/>
      <c r="C74" s="11"/>
      <c r="D74" s="11"/>
      <c r="E74" s="11"/>
      <c r="F74" s="11"/>
      <c r="G74" s="11"/>
      <c r="H74" s="11"/>
      <c r="I74" s="11"/>
      <c r="J74" s="11"/>
      <c r="K74" s="11"/>
      <c r="M74" s="217"/>
      <c r="N74" s="46"/>
      <c r="P74" s="11"/>
      <c r="Q74" s="11"/>
      <c r="R74" s="11"/>
      <c r="S74" s="11"/>
      <c r="T74" s="11"/>
    </row>
    <row r="75" spans="1:20" s="1" customFormat="1" ht="12.75" customHeight="1">
      <c r="A75" s="26"/>
      <c r="B75" s="1239"/>
      <c r="C75" s="11"/>
      <c r="D75" s="11"/>
      <c r="E75" s="11"/>
      <c r="F75" s="11"/>
      <c r="G75" s="11"/>
      <c r="H75" s="11"/>
      <c r="I75" s="11"/>
      <c r="J75" s="11"/>
      <c r="K75" s="11"/>
      <c r="L75" s="182"/>
      <c r="M75" s="182"/>
      <c r="N75" s="46"/>
      <c r="P75" s="11"/>
      <c r="Q75" s="11"/>
      <c r="R75" s="11"/>
      <c r="S75" s="11"/>
      <c r="T75" s="11"/>
    </row>
    <row r="76" spans="1:20" s="1" customFormat="1" ht="3" customHeight="1">
      <c r="A76" s="26"/>
      <c r="C76" s="11"/>
      <c r="D76" s="11"/>
      <c r="E76" s="11"/>
      <c r="F76" s="11"/>
      <c r="G76" s="11"/>
      <c r="H76" s="11"/>
      <c r="I76" s="11"/>
      <c r="J76" s="11"/>
      <c r="K76" s="11"/>
      <c r="M76" s="217"/>
      <c r="N76" s="46"/>
      <c r="P76" s="11"/>
      <c r="Q76" s="11"/>
      <c r="R76" s="11"/>
      <c r="S76" s="11"/>
      <c r="T76" s="11"/>
    </row>
    <row r="77" spans="1:20" ht="12.75" customHeight="1">
      <c r="A77" s="54"/>
      <c r="B77" s="55"/>
      <c r="C77" s="55"/>
      <c r="D77" s="55"/>
      <c r="E77" s="55"/>
      <c r="F77" s="55"/>
      <c r="G77" s="55"/>
      <c r="H77" s="55"/>
      <c r="I77" s="55"/>
      <c r="J77" s="55"/>
      <c r="K77" s="55"/>
      <c r="L77" s="55"/>
      <c r="M77" s="55"/>
      <c r="N77" s="1166"/>
      <c r="O77" s="56"/>
    </row>
    <row r="78" spans="1:20" ht="15" thickBot="1"/>
    <row r="79" spans="1:20" ht="15" thickBot="1">
      <c r="D79" s="1370" t="s">
        <v>242</v>
      </c>
      <c r="E79" s="1371"/>
      <c r="F79" s="1371"/>
      <c r="G79" s="1371"/>
      <c r="H79" s="1371"/>
      <c r="I79" s="1371"/>
      <c r="J79" s="1372"/>
      <c r="O79" s="56"/>
    </row>
  </sheetData>
  <sheetProtection algorithmName="SHA-512" hashValue="5jIo/QGmzHsAfstvdTtnXChKGEfzGgZmJCay9SPsrbM8ELsKJ8JDDKLCgqNBaIbNIpkaPvi/zS1rCLZ77BLWKQ==" saltValue="Na9BfPo7UdupD8jhwvJzIw==" spinCount="100000" sheet="1" objects="1" scenarios="1"/>
  <customSheetViews>
    <customSheetView guid="{CDDBAA41-0D3E-44AF-A85A-332C81A5DAE4}" showGridLines="0" fitToPage="1">
      <selection activeCell="Q18" sqref="Q18"/>
      <pageMargins left="0.70866141732283472" right="0.70866141732283472" top="0.78740157480314965" bottom="0.78740157480314965" header="0.31496062992125984" footer="0.31496062992125984"/>
      <pageSetup paperSize="9" scale="83" orientation="portrait"/>
      <headerFooter>
        <oddHeader>&amp;C&amp;9Seite 1</oddHeader>
        <oddFooter>&amp;C&amp;8Verhandlungsunterlagen SGB XI&amp;R&amp;8Version Kostenträger Stand: 29.11.2018</oddFooter>
      </headerFooter>
    </customSheetView>
  </customSheetViews>
  <mergeCells count="29">
    <mergeCell ref="D79:J79"/>
    <mergeCell ref="D34:H34"/>
    <mergeCell ref="J34:M34"/>
    <mergeCell ref="D12:M12"/>
    <mergeCell ref="D14:M14"/>
    <mergeCell ref="D36:M36"/>
    <mergeCell ref="H41:M41"/>
    <mergeCell ref="F51:G51"/>
    <mergeCell ref="D32:H32"/>
    <mergeCell ref="J32:M32"/>
    <mergeCell ref="J20:M20"/>
    <mergeCell ref="D22:H22"/>
    <mergeCell ref="D30:M30"/>
    <mergeCell ref="D28:M28"/>
    <mergeCell ref="D16:M16"/>
    <mergeCell ref="D18:H18"/>
    <mergeCell ref="A1:N1"/>
    <mergeCell ref="A2:N2"/>
    <mergeCell ref="A3:N3"/>
    <mergeCell ref="D6:G6"/>
    <mergeCell ref="A5:B5"/>
    <mergeCell ref="L6:M6"/>
    <mergeCell ref="L4:M4"/>
    <mergeCell ref="F53:G53"/>
    <mergeCell ref="H8:K8"/>
    <mergeCell ref="D26:M26"/>
    <mergeCell ref="J22:M22"/>
    <mergeCell ref="J18:M18"/>
    <mergeCell ref="D20:H20"/>
  </mergeCells>
  <conditionalFormatting sqref="D8:G8">
    <cfRule type="expression" dxfId="119" priority="11">
      <formula>$D$7&lt;&gt;"kzp"</formula>
    </cfRule>
  </conditionalFormatting>
  <conditionalFormatting sqref="H8:K8">
    <cfRule type="expression" dxfId="117" priority="10">
      <formula>$D$7&lt;&gt;"kzp"</formula>
    </cfRule>
  </conditionalFormatting>
  <conditionalFormatting sqref="L41">
    <cfRule type="expression" dxfId="112" priority="12">
      <formula>Wennoder($L$48&lt;0,$L$48=0,"")</formula>
    </cfRule>
  </conditionalFormatting>
  <dataValidations count="3">
    <dataValidation type="date" errorStyle="warning" operator="greaterThan" allowBlank="1" showInputMessage="1" showErrorMessage="1" errorTitle="Laufzeitbeginn im Jahr 2017" error="Laufzeitbeginn ab 01.01.2017 möglich" sqref="H51:H53" xr:uid="{00000000-0002-0000-0200-000000000000}">
      <formula1>42735</formula1>
    </dataValidation>
    <dataValidation allowBlank="1" showInputMessage="1" showErrorMessage="1" promptTitle="Quorum" prompt="Bitte Hinweise zur Berechnung des Anteils beachten!" sqref="K66" xr:uid="{00000000-0002-0000-0200-000001000000}"/>
    <dataValidation errorStyle="information" allowBlank="1" showErrorMessage="1" errorTitle="angebundene KZP" promptTitle="angebundene KZP" prompt="siehe allgemeine Hinweise" sqref="L48" xr:uid="{00000000-0002-0000-0200-000002000000}"/>
  </dataValidations>
  <hyperlinks>
    <hyperlink ref="D79" location="'Anlage 1'!A1" display="Anlage 1" xr:uid="{00000000-0004-0000-0200-000000000000}"/>
    <hyperlink ref="D79:J79" location="Belegung!A1" display="gehe weiter zu B_Belegung" xr:uid="{00000000-0004-0000-0200-000001000000}"/>
  </hyperlinks>
  <pageMargins left="0.70866141732283472" right="0.70866141732283472" top="0.78740157480314965" bottom="0.78740157480314965" header="0.31496062992125984" footer="0.31496062992125984"/>
  <pageSetup paperSize="9" scale="76" orientation="portrait"/>
  <headerFooter>
    <oddHeader>&amp;C&amp;9Seite 1</oddHeader>
    <oddFooter>&amp;L&amp;8Version: 21.11.2024&amp;C&amp;8Verhandlungsunterlagen TP/KZP SGB XI&amp;R&amp;8PSK vom 07.11.2024</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7</xdr:col>
                    <xdr:colOff>828675</xdr:colOff>
                    <xdr:row>41</xdr:row>
                    <xdr:rowOff>38100</xdr:rowOff>
                  </from>
                  <to>
                    <xdr:col>8</xdr:col>
                    <xdr:colOff>247650</xdr:colOff>
                    <xdr:row>43</xdr:row>
                    <xdr:rowOff>66675</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12</xdr:col>
                    <xdr:colOff>247650</xdr:colOff>
                    <xdr:row>47</xdr:row>
                    <xdr:rowOff>123825</xdr:rowOff>
                  </from>
                  <to>
                    <xdr:col>12</xdr:col>
                    <xdr:colOff>466725</xdr:colOff>
                    <xdr:row>49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17B3789A-6640-4775-A7D3-3EC0607DA68E}">
            <xm:f>KAT!$A$34="nein"</xm:f>
            <x14:dxf>
              <font>
                <color theme="0"/>
              </font>
              <fill>
                <patternFill>
                  <bgColor theme="0"/>
                </patternFill>
              </fill>
            </x14:dxf>
          </x14:cfRule>
          <xm:sqref>D7:F7</xm:sqref>
        </x14:conditionalFormatting>
        <x14:conditionalFormatting xmlns:xm="http://schemas.microsoft.com/office/excel/2006/main">
          <x14:cfRule type="expression" priority="6" id="{F117E49D-0AA6-4CC9-9341-9054EF38687F}">
            <xm:f>KAT!$A$34="nein"</xm:f>
            <x14:dxf>
              <font>
                <color theme="0"/>
              </font>
              <fill>
                <patternFill>
                  <bgColor theme="0"/>
                </patternFill>
              </fill>
            </x14:dxf>
          </x14:cfRule>
          <xm:sqref>H9</xm:sqref>
        </x14:conditionalFormatting>
        <x14:conditionalFormatting xmlns:xm="http://schemas.microsoft.com/office/excel/2006/main">
          <x14:cfRule type="expression" priority="5" id="{AEC865D8-B6F7-44B4-A110-D631D85AAC5D}">
            <xm:f>KAT!$A$34="nein"</xm:f>
            <x14:dxf>
              <fill>
                <patternFill>
                  <bgColor theme="0"/>
                </patternFill>
              </fill>
            </x14:dxf>
          </x14:cfRule>
          <xm:sqref>J9</xm:sqref>
        </x14:conditionalFormatting>
        <x14:conditionalFormatting xmlns:xm="http://schemas.microsoft.com/office/excel/2006/main">
          <x14:cfRule type="expression" priority="4" id="{356D9709-F5F4-4ECE-8BB5-A8FE2D5FA951}">
            <xm:f>KAT!$A$34="nein"</xm:f>
            <x14:dxf>
              <font>
                <color theme="0"/>
              </font>
              <fill>
                <patternFill>
                  <fgColor theme="0"/>
                  <bgColor theme="0"/>
                </patternFill>
              </fill>
            </x14:dxf>
          </x14:cfRule>
          <xm:sqref>K45</xm:sqref>
        </x14:conditionalFormatting>
        <x14:conditionalFormatting xmlns:xm="http://schemas.microsoft.com/office/excel/2006/main">
          <x14:cfRule type="expression" priority="3" id="{178875FD-4D86-4F1C-87B8-F93B583AF5A1}">
            <xm:f>KAT!$A$34="nein"</xm:f>
            <x14:dxf>
              <fill>
                <patternFill>
                  <bgColor theme="0"/>
                </patternFill>
              </fill>
            </x14:dxf>
          </x14:cfRule>
          <xm:sqref>K46</xm:sqref>
        </x14:conditionalFormatting>
        <x14:conditionalFormatting xmlns:xm="http://schemas.microsoft.com/office/excel/2006/main">
          <x14:cfRule type="expression" priority="2" id="{5E830503-0144-48D8-82CA-147D4F4D6B78}">
            <xm:f>KAT!$A$34="nein"</xm:f>
            <x14:dxf>
              <fill>
                <patternFill patternType="none">
                  <bgColor auto="1"/>
                </patternFill>
              </fill>
            </x14:dxf>
          </x14:cfRule>
          <xm:sqref>K67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errorTitle="Einrichtungsart" error="bitte aus Liste auswählen" promptTitle="Auswahlmöglichkeit" prompt="teilstationäre Pflege_x000a_Kurzzeitpflege_x000a_" xr:uid="{00000000-0002-0000-0200-000003000000}">
          <x14:formula1>
            <xm:f>KAT!$A$2:$A$3</xm:f>
          </x14:formula1>
          <xm:sqref>D6:G6</xm:sqref>
        </x14:dataValidation>
        <x14:dataValidation type="list" allowBlank="1" showInputMessage="1" showErrorMessage="1" errorTitle="Auswahlmöglichkeit" error="Bitte aus Liste wählen!" xr:uid="{00000000-0002-0000-0200-000004000000}">
          <x14:formula1>
            <xm:f>KAT!$F$2:$F$4</xm:f>
          </x14:formula1>
          <xm:sqref>C41</xm:sqref>
        </x14:dataValidation>
        <x14:dataValidation type="list" allowBlank="1" showInputMessage="1" showErrorMessage="1" xr:uid="{00000000-0002-0000-0200-000005000000}">
          <x14:formula1>
            <xm:f>KAT!$F$2:$F$3</xm:f>
          </x14:formula1>
          <xm:sqref>L73 L71</xm:sqref>
        </x14:dataValidation>
        <x14:dataValidation type="list" allowBlank="1" showInputMessage="1" showErrorMessage="1" xr:uid="{00000000-0002-0000-0200-000006000000}">
          <x14:formula1>
            <xm:f>KAT!$A$10:$A$11</xm:f>
          </x14:formula1>
          <xm:sqref>H8:K8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G34"/>
  <sheetViews>
    <sheetView workbookViewId="0">
      <selection activeCell="A34" sqref="A34"/>
    </sheetView>
  </sheetViews>
  <sheetFormatPr baseColWidth="10" defaultRowHeight="14.25"/>
  <cols>
    <col min="1" max="1" width="16.875" customWidth="1"/>
  </cols>
  <sheetData>
    <row r="1" spans="1:7" s="287" customFormat="1" ht="15">
      <c r="A1" s="287" t="s">
        <v>191</v>
      </c>
      <c r="B1" s="287" t="s">
        <v>192</v>
      </c>
      <c r="C1" s="287" t="s">
        <v>160</v>
      </c>
      <c r="D1" s="287" t="s">
        <v>193</v>
      </c>
      <c r="E1" s="288" t="s">
        <v>194</v>
      </c>
      <c r="F1" s="287" t="s">
        <v>195</v>
      </c>
    </row>
    <row r="2" spans="1:7">
      <c r="A2" s="289" t="s">
        <v>201</v>
      </c>
      <c r="B2" s="290" t="s">
        <v>197</v>
      </c>
      <c r="C2" s="289">
        <v>30.42</v>
      </c>
      <c r="D2" s="289">
        <v>365</v>
      </c>
      <c r="E2" s="291">
        <v>1</v>
      </c>
      <c r="F2" s="289" t="s">
        <v>198</v>
      </c>
      <c r="G2" s="289"/>
    </row>
    <row r="3" spans="1:7">
      <c r="A3" s="289" t="s">
        <v>202</v>
      </c>
      <c r="B3" s="289"/>
      <c r="C3" s="289">
        <v>26</v>
      </c>
      <c r="D3" s="289">
        <v>312</v>
      </c>
      <c r="E3" s="291">
        <v>0.99</v>
      </c>
      <c r="F3" s="289" t="s">
        <v>200</v>
      </c>
      <c r="G3" s="289"/>
    </row>
    <row r="4" spans="1:7">
      <c r="A4" s="289" t="s">
        <v>196</v>
      </c>
      <c r="C4" s="289">
        <v>20.83</v>
      </c>
      <c r="D4" s="289">
        <v>250</v>
      </c>
      <c r="E4" s="291">
        <v>0.98</v>
      </c>
      <c r="F4" s="289"/>
      <c r="G4" s="289"/>
    </row>
    <row r="5" spans="1:7">
      <c r="A5" s="289" t="s">
        <v>3</v>
      </c>
      <c r="C5" s="289"/>
      <c r="D5" s="289"/>
      <c r="E5" s="291">
        <v>0.97</v>
      </c>
    </row>
    <row r="6" spans="1:7">
      <c r="A6" s="289" t="s">
        <v>39</v>
      </c>
      <c r="E6" s="291">
        <v>0.96</v>
      </c>
    </row>
    <row r="7" spans="1:7">
      <c r="A7" s="289" t="s">
        <v>199</v>
      </c>
      <c r="E7" s="291">
        <v>0.95</v>
      </c>
    </row>
    <row r="8" spans="1:7">
      <c r="A8" s="289"/>
      <c r="E8" s="291">
        <v>0.94</v>
      </c>
    </row>
    <row r="9" spans="1:7">
      <c r="E9" s="291">
        <v>0.93</v>
      </c>
    </row>
    <row r="10" spans="1:7">
      <c r="A10" s="289" t="s">
        <v>720</v>
      </c>
      <c r="E10" s="291">
        <v>0.92</v>
      </c>
    </row>
    <row r="11" spans="1:7">
      <c r="A11" s="289" t="s">
        <v>721</v>
      </c>
      <c r="E11" s="291">
        <v>0.91</v>
      </c>
    </row>
    <row r="12" spans="1:7">
      <c r="E12" s="291">
        <v>0.9</v>
      </c>
    </row>
    <row r="13" spans="1:7">
      <c r="E13" s="291">
        <v>0.89</v>
      </c>
    </row>
    <row r="14" spans="1:7">
      <c r="E14" s="291">
        <v>0.88</v>
      </c>
    </row>
    <row r="15" spans="1:7">
      <c r="A15" s="106"/>
      <c r="E15" s="291">
        <v>0.87</v>
      </c>
    </row>
    <row r="16" spans="1:7">
      <c r="A16" s="106"/>
      <c r="E16" s="291">
        <v>0.86</v>
      </c>
    </row>
    <row r="17" spans="1:5">
      <c r="E17" s="291">
        <v>0.85</v>
      </c>
    </row>
    <row r="18" spans="1:5">
      <c r="A18" s="286"/>
      <c r="E18" s="289"/>
    </row>
    <row r="19" spans="1:5">
      <c r="A19" s="286"/>
    </row>
    <row r="22" spans="1:5">
      <c r="A22" t="s">
        <v>533</v>
      </c>
    </row>
    <row r="23" spans="1:5">
      <c r="A23" s="962"/>
      <c r="C23" s="962" t="s">
        <v>198</v>
      </c>
      <c r="D23" s="962" t="s">
        <v>578</v>
      </c>
    </row>
    <row r="24" spans="1:5">
      <c r="A24" s="962" t="s">
        <v>12</v>
      </c>
      <c r="C24" s="962" t="s">
        <v>200</v>
      </c>
      <c r="D24" s="962" t="s">
        <v>550</v>
      </c>
    </row>
    <row r="25" spans="1:5">
      <c r="A25" s="962" t="s">
        <v>534</v>
      </c>
      <c r="C25" s="962"/>
      <c r="D25" s="962"/>
    </row>
    <row r="26" spans="1:5">
      <c r="A26" s="962" t="s">
        <v>535</v>
      </c>
    </row>
    <row r="27" spans="1:5">
      <c r="A27" s="962" t="s">
        <v>536</v>
      </c>
    </row>
    <row r="28" spans="1:5">
      <c r="A28" s="962" t="s">
        <v>537</v>
      </c>
    </row>
    <row r="29" spans="1:5">
      <c r="A29" s="962"/>
    </row>
    <row r="33" spans="1:2">
      <c r="A33" t="s">
        <v>736</v>
      </c>
    </row>
    <row r="34" spans="1:2">
      <c r="A34" t="s">
        <v>200</v>
      </c>
      <c r="B34" t="s">
        <v>737</v>
      </c>
    </row>
  </sheetData>
  <sheetProtection algorithmName="SHA-512" hashValue="k2OUF8H0iekMDrq3AF/Ok86QXr3igLYEo9RSr1E5+eQiYy8dxEvy7RnFeLJ0appR7PGC4oYsPj0XeqvIHveipA==" saltValue="k2467ibWJbX8swzCDQ0yuQ==" spinCount="100000" sheet="1" objects="1" scenarios="1"/>
  <customSheetViews>
    <customSheetView guid="{CDDBAA41-0D3E-44AF-A85A-332C81A5DAE4}" state="hidden">
      <selection activeCell="A2" sqref="A2:A7"/>
      <pageMargins left="0.7" right="0.7" top="0.78740157499999996" bottom="0.78740157499999996" header="0.3" footer="0.3"/>
    </customSheetView>
  </customSheetViews>
  <dataValidations count="1">
    <dataValidation type="list" allowBlank="1" showInputMessage="1" showErrorMessage="1" sqref="A34" xr:uid="{9B9ABF2B-3EB6-49FF-B0FC-55BFFA302326}">
      <formula1>"ja,nein"</formula1>
    </dataValidation>
  </dataValidations>
  <pageMargins left="0.7" right="0.7" top="0.78740157499999996" bottom="0.78740157499999996" header="0.3" footer="0.3"/>
  <pageSetup paperSize="9" orientation="portrait"/>
  <headerFooter>
    <oddFooter>&amp;C_x000D_&amp;1#&amp;"Calibri"&amp;10&amp;K000000 öffentlich</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M68"/>
  <sheetViews>
    <sheetView showGridLines="0" zoomScaleNormal="100" workbookViewId="0">
      <selection activeCell="A4" sqref="A4:H4"/>
    </sheetView>
  </sheetViews>
  <sheetFormatPr baseColWidth="10" defaultRowHeight="14.25"/>
  <cols>
    <col min="1" max="1" width="5.625" style="3" customWidth="1"/>
    <col min="2" max="2" width="11.375" style="3" customWidth="1"/>
    <col min="3" max="3" width="15.625" style="3" customWidth="1"/>
    <col min="4" max="5" width="17.625" style="3" customWidth="1"/>
    <col min="6" max="6" width="14.625" style="3" customWidth="1"/>
    <col min="7" max="7" width="9.125" style="3" customWidth="1"/>
    <col min="8" max="8" width="5.625" style="3" customWidth="1"/>
    <col min="9" max="9" width="13.625" style="3" customWidth="1"/>
    <col min="10" max="16384" width="11" style="3"/>
  </cols>
  <sheetData>
    <row r="1" spans="1:13" ht="15">
      <c r="A1" s="1356" t="str">
        <f>'Allgemeine Angaben'!A1:N1</f>
        <v>Aufforderung zum Abschluss einer Pflegesatzvereinbarung gemäß §§ 84, 85 SGB XI</v>
      </c>
      <c r="B1" s="1357"/>
      <c r="C1" s="1357"/>
      <c r="D1" s="1357"/>
      <c r="E1" s="1357"/>
      <c r="F1" s="1357"/>
      <c r="G1" s="1357"/>
      <c r="H1" s="1358"/>
      <c r="I1" s="802"/>
    </row>
    <row r="2" spans="1:13" ht="15">
      <c r="A2" s="1359" t="s">
        <v>31</v>
      </c>
      <c r="B2" s="1360"/>
      <c r="C2" s="1360"/>
      <c r="D2" s="1360"/>
      <c r="E2" s="1360"/>
      <c r="F2" s="1360"/>
      <c r="G2" s="1360"/>
      <c r="H2" s="1361"/>
      <c r="I2" s="805"/>
      <c r="J2" s="57"/>
    </row>
    <row r="3" spans="1:13">
      <c r="A3" s="1377" t="str">
        <f>'Allgemeine Angaben'!A3:N3</f>
        <v/>
      </c>
      <c r="B3" s="1378"/>
      <c r="C3" s="1378"/>
      <c r="D3" s="1378"/>
      <c r="E3" s="1378"/>
      <c r="F3" s="1378"/>
      <c r="G3" s="1378"/>
      <c r="H3" s="1379"/>
      <c r="I3" s="823"/>
      <c r="J3" s="58"/>
    </row>
    <row r="4" spans="1:13">
      <c r="A4" s="1380" t="str">
        <f>'Allgemeine Angaben'!A4:N4</f>
        <v/>
      </c>
      <c r="B4" s="1381"/>
      <c r="C4" s="1381"/>
      <c r="D4" s="1381"/>
      <c r="E4" s="1381"/>
      <c r="F4" s="1381"/>
      <c r="G4" s="1381"/>
      <c r="H4" s="1382"/>
      <c r="I4" s="101"/>
    </row>
    <row r="5" spans="1:13" s="11" customFormat="1" ht="12.75">
      <c r="A5" s="59"/>
      <c r="B5" s="7"/>
      <c r="C5" s="7"/>
      <c r="D5" s="7"/>
      <c r="E5" s="7"/>
      <c r="F5" s="7"/>
      <c r="G5" s="7"/>
      <c r="H5" s="60"/>
      <c r="I5" s="102"/>
    </row>
    <row r="6" spans="1:13" s="50" customFormat="1" ht="25.5" customHeight="1">
      <c r="A6" s="62"/>
      <c r="B6" s="47" t="s">
        <v>2</v>
      </c>
      <c r="D6" s="63" t="str">
        <f>IF('Allgemeine Angaben'!D6:G6&gt;0,'Allgemeine Angaben'!D6:G6,"")</f>
        <v/>
      </c>
      <c r="E6" s="64"/>
      <c r="F6" s="65" t="s">
        <v>243</v>
      </c>
      <c r="G6" s="297"/>
      <c r="H6" s="66"/>
      <c r="I6" s="469"/>
      <c r="J6" s="1227"/>
    </row>
    <row r="7" spans="1:13" s="11" customFormat="1" ht="12.75">
      <c r="A7" s="67"/>
      <c r="D7" s="61"/>
      <c r="F7" s="68"/>
      <c r="G7" s="1120" t="str">
        <f>IF(G6=0,"",IF(G6&gt;0,IF(AND('Allgemeine Angaben'!D7="vst",G6&gt;95.9)=TRUE,"",IF(AND('Allgemeine Angaben'!D7="kzp",G6&gt;G8)=TRUE,"",IF(AND('Allgemeine Angaben'!D7="tst",G6&gt;84.9)=TRUE,"","Auslastung nicht plausibel")))))</f>
        <v/>
      </c>
      <c r="H7" s="1228">
        <v>77.900000000000006</v>
      </c>
      <c r="I7" s="103"/>
      <c r="J7" s="1229"/>
    </row>
    <row r="8" spans="1:13" s="11" customFormat="1" ht="15" customHeight="1">
      <c r="A8" s="67"/>
      <c r="B8" s="70" t="s">
        <v>32</v>
      </c>
      <c r="C8" s="68"/>
      <c r="D8" s="71"/>
      <c r="E8" s="1121" t="str">
        <f>IF(D8&lt;&gt;0,IF(AND('Allgemeine Angaben'!D7="tst",D8=250),"",(IF(AND('Allgemeine Angaben'!D7="tst",D8=312),"",IF(D8=365,"","Öffnungstage nicht plausibel zur Einrichtungsart")))),"")</f>
        <v/>
      </c>
      <c r="G8" s="1272">
        <f>IF(AND('Allgemeine Angaben'!K45&lt;12,'Allgemeine Angaben'!H9=1),H9,IF(AND('Allgemeine Angaben'!K45&lt;24,'Allgemeine Angaben'!H9=1),H8,H7))</f>
        <v>77.900000000000006</v>
      </c>
      <c r="H8" s="1228">
        <f>(77.9-5)</f>
        <v>72.900000000000006</v>
      </c>
      <c r="I8" s="61"/>
      <c r="J8" s="1232"/>
    </row>
    <row r="9" spans="1:13" s="11" customFormat="1" ht="12.75">
      <c r="A9" s="67"/>
      <c r="C9" s="61"/>
      <c r="D9" s="61"/>
      <c r="G9" s="1273"/>
      <c r="H9" s="1228">
        <v>69.900000000000006</v>
      </c>
    </row>
    <row r="10" spans="1:13" s="11" customFormat="1" ht="15" customHeight="1">
      <c r="A10" s="67"/>
      <c r="B10" s="1210" t="s">
        <v>615</v>
      </c>
      <c r="D10" s="50"/>
      <c r="E10" s="72"/>
      <c r="F10" s="1122" t="str">
        <f>IF('Allgemeine Angaben'!D7="tst","bis:","")</f>
        <v/>
      </c>
      <c r="G10" s="1230"/>
      <c r="H10" s="46"/>
      <c r="I10" s="103"/>
    </row>
    <row r="11" spans="1:13" s="11" customFormat="1" ht="12.75">
      <c r="A11" s="67"/>
      <c r="D11" s="61"/>
      <c r="F11" s="1123" t="str">
        <f>IF('Allgemeine Angaben'!D7="tst","tägl. Std.:Min:","")</f>
        <v/>
      </c>
      <c r="G11" s="73" t="str">
        <f>IF('Allgemeine Angaben'!D7="tst",G10-E10,"")</f>
        <v/>
      </c>
      <c r="H11" s="46"/>
      <c r="I11" s="104"/>
    </row>
    <row r="12" spans="1:13" s="11" customFormat="1" ht="12.75">
      <c r="A12" s="67"/>
      <c r="D12" s="61"/>
      <c r="H12" s="46"/>
    </row>
    <row r="13" spans="1:13" s="11" customFormat="1" ht="15" customHeight="1">
      <c r="A13" s="67"/>
      <c r="B13" s="178" t="s">
        <v>31</v>
      </c>
      <c r="C13" s="167"/>
      <c r="D13" s="167"/>
      <c r="E13" s="167"/>
      <c r="F13" s="167"/>
      <c r="G13" s="178"/>
      <c r="H13" s="46"/>
      <c r="I13" s="781"/>
      <c r="J13" s="782"/>
      <c r="K13" s="782"/>
      <c r="L13" s="782"/>
      <c r="M13" s="782"/>
    </row>
    <row r="14" spans="1:13" s="11" customFormat="1" ht="9.9499999999999993" customHeight="1">
      <c r="A14" s="67"/>
      <c r="B14" s="5"/>
      <c r="G14" s="5"/>
      <c r="H14" s="46"/>
      <c r="I14" s="782"/>
      <c r="J14" s="782"/>
      <c r="K14" s="782"/>
      <c r="L14" s="782"/>
      <c r="M14" s="782"/>
    </row>
    <row r="15" spans="1:13" s="11" customFormat="1" ht="30" customHeight="1">
      <c r="A15" s="67"/>
      <c r="B15" s="5"/>
      <c r="C15" s="1237" t="str">
        <f>IF('Allgemeine Angaben'!D7="tst","letzten 12 Kalendermonate","letzten 24 Kalendermonate")</f>
        <v>letzten 24 Kalendermonate</v>
      </c>
      <c r="D15" s="304" t="s">
        <v>237</v>
      </c>
      <c r="E15" s="304" t="s">
        <v>33</v>
      </c>
      <c r="G15" s="5"/>
      <c r="H15" s="46"/>
      <c r="J15" s="1238"/>
    </row>
    <row r="16" spans="1:13" s="11" customFormat="1" ht="15" customHeight="1">
      <c r="A16" s="67"/>
      <c r="B16" s="17" t="s">
        <v>208</v>
      </c>
      <c r="C16" s="884"/>
      <c r="D16" s="885"/>
      <c r="E16" s="371" t="str">
        <f>IF('Allgemeine Angaben'!H51&gt;0,'Allgemeine Angaben'!H51,"")</f>
        <v/>
      </c>
      <c r="H16" s="46"/>
    </row>
    <row r="17" spans="1:10" s="11" customFormat="1" ht="15" customHeight="1">
      <c r="A17" s="67"/>
      <c r="B17" s="17" t="s">
        <v>209</v>
      </c>
      <c r="C17" s="370"/>
      <c r="H17" s="46"/>
      <c r="I17" s="103"/>
      <c r="J17" s="304"/>
    </row>
    <row r="18" spans="1:10" s="11" customFormat="1" ht="12.75" customHeight="1">
      <c r="A18" s="67"/>
      <c r="B18" s="1223" t="str">
        <f>IF('Allgemeine Angaben'!D7="kzp","Anzahl Monate:","")</f>
        <v/>
      </c>
      <c r="C18" s="1231" t="b">
        <f>IF('Allgemeine Angaben'!D7="kzp",IF(C17&gt;0,DATEDIF(C16,C17,"m")+1,""))</f>
        <v>0</v>
      </c>
      <c r="H18" s="46"/>
      <c r="I18" s="103"/>
    </row>
    <row r="19" spans="1:10" s="50" customFormat="1" ht="15" customHeight="1" thickBot="1">
      <c r="A19" s="372"/>
      <c r="C19" s="1116" t="str">
        <f>IF(AND('Allgemeine Angaben'!K45&gt;11.9,C17=""),"Bitte Belegungszeitraum vollständig angeben","")</f>
        <v/>
      </c>
      <c r="E19" s="373" t="s">
        <v>213</v>
      </c>
      <c r="H19" s="66"/>
      <c r="I19" s="469"/>
    </row>
    <row r="20" spans="1:10" s="50" customFormat="1" ht="15" customHeight="1" thickBot="1">
      <c r="A20" s="372"/>
      <c r="E20" s="374">
        <f>IF(ISERROR('Allgemeine Angaben'!L47*G6*D8/100),"",'Allgemeine Angaben'!L47*G6*D8/100)</f>
        <v>0</v>
      </c>
      <c r="H20" s="66"/>
      <c r="I20" s="103"/>
    </row>
    <row r="21" spans="1:10" s="50" customFormat="1" ht="15" customHeight="1">
      <c r="A21" s="372"/>
      <c r="B21" s="588"/>
      <c r="C21" s="11"/>
      <c r="D21" s="11"/>
      <c r="E21" s="11"/>
      <c r="F21" s="11"/>
      <c r="G21" s="11"/>
      <c r="H21" s="66"/>
      <c r="I21" s="469"/>
    </row>
    <row r="22" spans="1:10" s="50" customFormat="1" ht="25.5" customHeight="1">
      <c r="A22" s="372"/>
      <c r="B22" s="303" t="s">
        <v>34</v>
      </c>
      <c r="C22" s="1235" t="s">
        <v>692</v>
      </c>
      <c r="D22" s="303" t="s">
        <v>35</v>
      </c>
      <c r="E22" s="303" t="s">
        <v>35</v>
      </c>
      <c r="F22" s="814"/>
      <c r="G22" s="5"/>
      <c r="H22" s="66"/>
      <c r="I22" s="53"/>
    </row>
    <row r="23" spans="1:10" s="50" customFormat="1" ht="30" customHeight="1">
      <c r="A23" s="372"/>
      <c r="B23" s="421"/>
      <c r="C23" s="1236" t="str">
        <f>IF('Allgemeine Angaben'!D7="tst","in den letzten 12 Kalendermonaten","in den letzten "&amp;IF(ISNUMBER(C18),TEXT(C18,"## "),"24 ")&amp; "Kalendermonaten")</f>
        <v>in den letzten 24 Kalendermonaten</v>
      </c>
      <c r="D23" s="421" t="s">
        <v>207</v>
      </c>
      <c r="E23" s="421" t="s">
        <v>276</v>
      </c>
      <c r="F23" s="826"/>
      <c r="G23" s="186"/>
      <c r="H23" s="66"/>
      <c r="I23" s="818"/>
    </row>
    <row r="24" spans="1:10" s="50" customFormat="1" ht="15" customHeight="1">
      <c r="A24" s="372"/>
      <c r="B24" s="301"/>
      <c r="C24" s="302"/>
      <c r="D24" s="422" t="str">
        <f>IF(D16&gt;0,D16,"")</f>
        <v/>
      </c>
      <c r="E24" s="422" t="str">
        <f>IF(E16&gt;0,E16,"")</f>
        <v/>
      </c>
      <c r="F24" s="813"/>
      <c r="G24" s="186"/>
      <c r="H24" s="66"/>
      <c r="I24" s="818"/>
    </row>
    <row r="25" spans="1:10" s="50" customFormat="1" ht="15" customHeight="1">
      <c r="A25" s="372"/>
      <c r="B25" s="74"/>
      <c r="C25" s="74"/>
      <c r="D25" s="74"/>
      <c r="E25" s="74"/>
      <c r="F25" s="39"/>
      <c r="G25" s="11"/>
      <c r="H25" s="66"/>
      <c r="I25" s="53"/>
    </row>
    <row r="26" spans="1:10" s="50" customFormat="1" ht="15" customHeight="1" thickBot="1">
      <c r="A26" s="372"/>
      <c r="B26" s="75">
        <v>1</v>
      </c>
      <c r="C26" s="889"/>
      <c r="D26" s="886"/>
      <c r="E26" s="886"/>
      <c r="F26" s="926"/>
      <c r="G26" s="11"/>
      <c r="H26" s="66"/>
      <c r="I26" s="53"/>
      <c r="J26" s="53"/>
    </row>
    <row r="27" spans="1:10" s="50" customFormat="1" ht="15" customHeight="1" thickBot="1">
      <c r="A27" s="372"/>
      <c r="B27" s="76">
        <v>2</v>
      </c>
      <c r="C27" s="890"/>
      <c r="D27" s="887"/>
      <c r="E27" s="887"/>
      <c r="F27" s="927"/>
      <c r="G27" s="1118" t="str">
        <f>IF(AND('Allgemeine Angaben'!$D$7&lt;&gt;"vst",Belegung!E27=0),"Belegung eintragen","")</f>
        <v>Belegung eintragen</v>
      </c>
      <c r="H27" s="66"/>
      <c r="I27" s="53"/>
      <c r="J27" s="53"/>
    </row>
    <row r="28" spans="1:10" s="50" customFormat="1" ht="15" customHeight="1" thickBot="1">
      <c r="A28" s="372"/>
      <c r="B28" s="76">
        <v>3</v>
      </c>
      <c r="C28" s="890"/>
      <c r="D28" s="887"/>
      <c r="E28" s="887"/>
      <c r="F28" s="927"/>
      <c r="G28" s="1118" t="str">
        <f>IF(AND('Allgemeine Angaben'!$D$7&lt;&gt;"vst",Belegung!E28=0),"Belegung eintragen","")</f>
        <v>Belegung eintragen</v>
      </c>
      <c r="H28" s="66"/>
      <c r="I28" s="825"/>
    </row>
    <row r="29" spans="1:10" s="50" customFormat="1" ht="15" customHeight="1" thickBot="1">
      <c r="A29" s="372"/>
      <c r="B29" s="76">
        <v>4</v>
      </c>
      <c r="C29" s="890"/>
      <c r="D29" s="887"/>
      <c r="E29" s="887"/>
      <c r="F29" s="927"/>
      <c r="G29" s="1118" t="str">
        <f>IF(AND('Allgemeine Angaben'!$D$7&lt;&gt;"vst",Belegung!E29=0),"Belegung eintragen","")</f>
        <v>Belegung eintragen</v>
      </c>
      <c r="H29" s="66"/>
      <c r="I29" s="830"/>
    </row>
    <row r="30" spans="1:10" s="50" customFormat="1" ht="15" customHeight="1">
      <c r="A30" s="372"/>
      <c r="B30" s="77">
        <v>5</v>
      </c>
      <c r="C30" s="891"/>
      <c r="D30" s="888"/>
      <c r="E30" s="888"/>
      <c r="F30" s="928"/>
      <c r="G30" s="11"/>
      <c r="H30" s="66"/>
      <c r="I30" s="53"/>
    </row>
    <row r="31" spans="1:10" s="50" customFormat="1" ht="15" customHeight="1">
      <c r="A31" s="372"/>
      <c r="B31" s="79"/>
      <c r="C31" s="74"/>
      <c r="D31" s="74"/>
      <c r="E31" s="74"/>
      <c r="F31" s="39"/>
      <c r="G31" s="11"/>
      <c r="H31" s="66"/>
      <c r="I31" s="53"/>
    </row>
    <row r="32" spans="1:10" s="50" customFormat="1" ht="15" customHeight="1">
      <c r="A32" s="372"/>
      <c r="B32" s="80" t="s">
        <v>36</v>
      </c>
      <c r="C32" s="316">
        <f>SUM(C26:C30)</f>
        <v>0</v>
      </c>
      <c r="D32" s="81">
        <f>SUM(D26:D30)</f>
        <v>0</v>
      </c>
      <c r="E32" s="81">
        <f>SUM(E26:E30)</f>
        <v>0</v>
      </c>
      <c r="F32" s="815">
        <f>SUM(F26:F30)</f>
        <v>0</v>
      </c>
      <c r="G32" s="11"/>
      <c r="H32" s="66"/>
      <c r="I32" s="611"/>
    </row>
    <row r="33" spans="1:10" s="50" customFormat="1" ht="0.75" customHeight="1">
      <c r="A33" s="372"/>
      <c r="B33" s="82"/>
      <c r="C33" s="83"/>
      <c r="D33" s="83"/>
      <c r="E33" s="83"/>
      <c r="H33" s="66"/>
      <c r="I33" s="611"/>
    </row>
    <row r="34" spans="1:10" s="50" customFormat="1" ht="15" customHeight="1">
      <c r="A34" s="372"/>
      <c r="E34" s="1124" t="str">
        <f>IF(E32&gt;0,IF(E32&lt;&gt;'Allgemeine Angaben'!L47,"Prognose entspricht nicht Platzzahl",""),"")</f>
        <v/>
      </c>
      <c r="H34" s="66"/>
      <c r="I34" s="611"/>
    </row>
    <row r="35" spans="1:10" s="50" customFormat="1" ht="15" customHeight="1">
      <c r="A35" s="372"/>
      <c r="B35" s="588" t="s">
        <v>516</v>
      </c>
      <c r="C35" s="17"/>
      <c r="D35" s="11"/>
      <c r="E35" s="11"/>
      <c r="H35" s="66"/>
      <c r="I35" s="53"/>
    </row>
    <row r="36" spans="1:10" s="50" customFormat="1" ht="15" customHeight="1">
      <c r="A36" s="372"/>
      <c r="B36" s="588"/>
      <c r="C36" s="17"/>
      <c r="D36" s="11"/>
      <c r="E36" s="11"/>
      <c r="H36" s="66"/>
      <c r="I36" s="469"/>
      <c r="J36" s="784"/>
    </row>
    <row r="37" spans="1:10" s="50" customFormat="1" ht="15" customHeight="1">
      <c r="A37" s="372"/>
      <c r="B37" s="590" t="s">
        <v>394</v>
      </c>
      <c r="C37" s="892"/>
      <c r="D37" s="892"/>
      <c r="E37" s="892"/>
      <c r="H37" s="66"/>
      <c r="I37" s="469"/>
    </row>
    <row r="38" spans="1:10" s="50" customFormat="1" ht="15" customHeight="1">
      <c r="A38" s="372"/>
      <c r="B38" s="593" t="s">
        <v>34</v>
      </c>
      <c r="C38" s="589" t="s">
        <v>206</v>
      </c>
      <c r="D38" s="589" t="s">
        <v>206</v>
      </c>
      <c r="E38" s="589" t="s">
        <v>206</v>
      </c>
      <c r="H38" s="66"/>
      <c r="I38" s="825"/>
      <c r="J38" s="830"/>
    </row>
    <row r="39" spans="1:10" s="50" customFormat="1" ht="15" customHeight="1" thickBot="1">
      <c r="A39" s="372"/>
      <c r="B39" s="75">
        <v>1</v>
      </c>
      <c r="C39" s="889"/>
      <c r="D39" s="889"/>
      <c r="E39" s="889"/>
      <c r="H39" s="66"/>
      <c r="I39" s="53"/>
    </row>
    <row r="40" spans="1:10" s="50" customFormat="1" ht="15" customHeight="1" thickBot="1">
      <c r="A40" s="372"/>
      <c r="B40" s="76">
        <v>2</v>
      </c>
      <c r="C40" s="890"/>
      <c r="D40" s="890"/>
      <c r="E40" s="890"/>
      <c r="H40" s="66"/>
      <c r="I40" s="611"/>
    </row>
    <row r="41" spans="1:10" s="50" customFormat="1" ht="15" customHeight="1" thickBot="1">
      <c r="A41" s="372"/>
      <c r="B41" s="76">
        <v>3</v>
      </c>
      <c r="C41" s="890"/>
      <c r="D41" s="890"/>
      <c r="E41" s="890"/>
      <c r="H41" s="66"/>
      <c r="I41" s="53"/>
    </row>
    <row r="42" spans="1:10" s="50" customFormat="1" ht="15" customHeight="1" thickBot="1">
      <c r="A42" s="372"/>
      <c r="B42" s="76">
        <v>4</v>
      </c>
      <c r="C42" s="890"/>
      <c r="D42" s="890"/>
      <c r="E42" s="890"/>
      <c r="H42" s="66"/>
      <c r="I42" s="53"/>
    </row>
    <row r="43" spans="1:10" s="50" customFormat="1" ht="15" customHeight="1">
      <c r="A43" s="372"/>
      <c r="B43" s="77">
        <v>5</v>
      </c>
      <c r="C43" s="891"/>
      <c r="D43" s="891"/>
      <c r="E43" s="891"/>
      <c r="H43" s="66"/>
      <c r="I43" s="53"/>
    </row>
    <row r="44" spans="1:10" s="50" customFormat="1" ht="15" customHeight="1" thickBot="1">
      <c r="A44" s="372"/>
      <c r="B44" s="591" t="s">
        <v>36</v>
      </c>
      <c r="C44" s="592">
        <f>SUM(C39:C43)</f>
        <v>0</v>
      </c>
      <c r="D44" s="592">
        <f t="shared" ref="D44:E44" si="0">SUM(D39:D43)</f>
        <v>0</v>
      </c>
      <c r="E44" s="592">
        <f t="shared" si="0"/>
        <v>0</v>
      </c>
      <c r="H44" s="66"/>
      <c r="I44" s="53"/>
    </row>
    <row r="45" spans="1:10" s="50" customFormat="1" ht="15" customHeight="1" thickTop="1">
      <c r="A45" s="372"/>
      <c r="B45" s="11"/>
      <c r="C45" s="11"/>
      <c r="D45" s="11"/>
      <c r="E45" s="11"/>
      <c r="H45" s="66"/>
      <c r="I45" s="53"/>
    </row>
    <row r="46" spans="1:10" s="50" customFormat="1" ht="15" customHeight="1">
      <c r="A46" s="372"/>
      <c r="B46" s="590" t="s">
        <v>394</v>
      </c>
      <c r="C46" s="892"/>
      <c r="D46" s="892"/>
      <c r="E46" s="892"/>
      <c r="H46" s="66"/>
      <c r="I46" s="53"/>
    </row>
    <row r="47" spans="1:10" s="50" customFormat="1" ht="15" customHeight="1">
      <c r="A47" s="372"/>
      <c r="B47" s="593" t="s">
        <v>34</v>
      </c>
      <c r="C47" s="589" t="s">
        <v>206</v>
      </c>
      <c r="D47" s="589" t="s">
        <v>206</v>
      </c>
      <c r="E47" s="589" t="s">
        <v>206</v>
      </c>
      <c r="H47" s="66"/>
      <c r="I47" s="53"/>
    </row>
    <row r="48" spans="1:10" s="50" customFormat="1" ht="15" customHeight="1" thickBot="1">
      <c r="A48" s="372"/>
      <c r="B48" s="75">
        <v>1</v>
      </c>
      <c r="C48" s="889"/>
      <c r="D48" s="889"/>
      <c r="E48" s="889"/>
      <c r="H48" s="66"/>
      <c r="I48" s="53"/>
    </row>
    <row r="49" spans="1:9" s="50" customFormat="1" ht="15" customHeight="1" thickBot="1">
      <c r="A49" s="372"/>
      <c r="B49" s="76">
        <v>2</v>
      </c>
      <c r="C49" s="890"/>
      <c r="D49" s="890"/>
      <c r="E49" s="890"/>
      <c r="H49" s="66"/>
      <c r="I49" s="53"/>
    </row>
    <row r="50" spans="1:9" s="50" customFormat="1" ht="15" customHeight="1" thickBot="1">
      <c r="A50" s="372"/>
      <c r="B50" s="76">
        <v>3</v>
      </c>
      <c r="C50" s="890"/>
      <c r="D50" s="890"/>
      <c r="E50" s="890"/>
      <c r="H50" s="66"/>
      <c r="I50" s="53"/>
    </row>
    <row r="51" spans="1:9" s="50" customFormat="1" ht="15" customHeight="1" thickBot="1">
      <c r="A51" s="372"/>
      <c r="B51" s="76">
        <v>4</v>
      </c>
      <c r="C51" s="890"/>
      <c r="D51" s="890"/>
      <c r="E51" s="890"/>
      <c r="H51" s="66"/>
      <c r="I51" s="53"/>
    </row>
    <row r="52" spans="1:9" s="50" customFormat="1" ht="15" customHeight="1">
      <c r="A52" s="372"/>
      <c r="B52" s="77">
        <v>5</v>
      </c>
      <c r="C52" s="891"/>
      <c r="D52" s="891"/>
      <c r="E52" s="891"/>
      <c r="H52" s="66"/>
      <c r="I52" s="53"/>
    </row>
    <row r="53" spans="1:9" s="50" customFormat="1" ht="15" customHeight="1" thickBot="1">
      <c r="A53" s="372"/>
      <c r="B53" s="591" t="s">
        <v>36</v>
      </c>
      <c r="C53" s="592">
        <f>SUM(C48:C52)</f>
        <v>0</v>
      </c>
      <c r="D53" s="592">
        <f t="shared" ref="D53" si="1">SUM(D48:D52)</f>
        <v>0</v>
      </c>
      <c r="E53" s="592">
        <f t="shared" ref="E53" si="2">SUM(E48:E52)</f>
        <v>0</v>
      </c>
      <c r="H53" s="66"/>
      <c r="I53" s="53"/>
    </row>
    <row r="54" spans="1:9" s="50" customFormat="1" ht="15" customHeight="1" thickTop="1">
      <c r="A54" s="372"/>
      <c r="E54" s="783"/>
      <c r="H54" s="66"/>
      <c r="I54" s="53"/>
    </row>
    <row r="55" spans="1:9" s="5" customFormat="1" ht="12.75">
      <c r="A55" s="67"/>
      <c r="B55" s="178" t="s">
        <v>271</v>
      </c>
      <c r="C55" s="178"/>
      <c r="D55" s="178"/>
      <c r="E55" s="178"/>
      <c r="F55" s="178"/>
      <c r="G55" s="178"/>
      <c r="H55" s="86"/>
      <c r="I55" s="61"/>
    </row>
    <row r="56" spans="1:9" ht="15" customHeight="1">
      <c r="A56" s="85"/>
      <c r="G56" s="5"/>
      <c r="H56" s="4"/>
    </row>
    <row r="57" spans="1:9" s="11" customFormat="1" ht="15" customHeight="1">
      <c r="A57" s="67"/>
      <c r="B57" s="596"/>
      <c r="C57" s="597"/>
      <c r="D57" s="598"/>
      <c r="E57" s="1387" t="s">
        <v>395</v>
      </c>
      <c r="F57" s="1388"/>
      <c r="G57" s="5"/>
      <c r="H57" s="46"/>
      <c r="I57" s="602"/>
    </row>
    <row r="58" spans="1:9" s="11" customFormat="1" ht="15" customHeight="1">
      <c r="A58" s="67"/>
      <c r="B58" s="599"/>
      <c r="C58" s="600"/>
      <c r="D58" s="601"/>
      <c r="E58" s="595" t="s">
        <v>44</v>
      </c>
      <c r="F58" s="594" t="s">
        <v>38</v>
      </c>
      <c r="G58" s="5"/>
      <c r="H58" s="46"/>
      <c r="I58" s="61"/>
    </row>
    <row r="59" spans="1:9" s="11" customFormat="1" ht="3" customHeight="1">
      <c r="A59" s="67"/>
      <c r="B59" s="39"/>
      <c r="D59" s="87"/>
      <c r="F59" s="46"/>
      <c r="G59" s="5"/>
      <c r="H59" s="46"/>
    </row>
    <row r="60" spans="1:9" s="11" customFormat="1" ht="13.5" thickBot="1">
      <c r="A60" s="67"/>
      <c r="B60" s="88" t="s">
        <v>210</v>
      </c>
      <c r="C60" s="89"/>
      <c r="D60" s="90"/>
      <c r="E60" s="91"/>
      <c r="F60" s="309"/>
      <c r="G60" s="5"/>
      <c r="H60" s="46"/>
      <c r="I60" s="105"/>
    </row>
    <row r="61" spans="1:9" s="11" customFormat="1" ht="13.5" thickBot="1">
      <c r="A61" s="67"/>
      <c r="B61" s="92" t="s">
        <v>244</v>
      </c>
      <c r="C61" s="93"/>
      <c r="D61" s="94"/>
      <c r="E61" s="95"/>
      <c r="F61" s="309"/>
      <c r="G61" s="5"/>
      <c r="H61" s="46"/>
      <c r="I61" s="61"/>
    </row>
    <row r="62" spans="1:9" s="11" customFormat="1" ht="13.5" thickBot="1">
      <c r="A62" s="67"/>
      <c r="B62" s="584" t="s">
        <v>211</v>
      </c>
      <c r="C62" s="307"/>
      <c r="D62" s="308"/>
      <c r="E62" s="95"/>
      <c r="F62" s="309"/>
      <c r="G62" s="5"/>
      <c r="H62" s="46"/>
    </row>
    <row r="63" spans="1:9" s="11" customFormat="1" ht="15" thickBot="1">
      <c r="A63" s="67"/>
      <c r="B63" s="1383" t="s">
        <v>212</v>
      </c>
      <c r="C63" s="1384"/>
      <c r="D63" s="414"/>
      <c r="E63" s="95"/>
      <c r="F63" s="309"/>
      <c r="G63" s="5"/>
      <c r="H63" s="46"/>
    </row>
    <row r="64" spans="1:9" s="11" customFormat="1" ht="15" thickBot="1">
      <c r="A64" s="67"/>
      <c r="B64" s="1385" t="s">
        <v>212</v>
      </c>
      <c r="C64" s="1386"/>
      <c r="D64" s="415"/>
      <c r="E64" s="95"/>
      <c r="F64" s="309"/>
      <c r="G64" s="5"/>
      <c r="H64" s="46"/>
    </row>
    <row r="65" spans="1:8" s="11" customFormat="1" ht="3" customHeight="1">
      <c r="A65" s="67"/>
      <c r="B65" s="96"/>
      <c r="C65" s="97"/>
      <c r="D65" s="98"/>
      <c r="E65" s="310"/>
      <c r="F65" s="99"/>
      <c r="G65" s="5"/>
      <c r="H65" s="46"/>
    </row>
    <row r="66" spans="1:8">
      <c r="A66" s="54"/>
      <c r="B66" s="55"/>
      <c r="C66" s="55"/>
      <c r="D66" s="55"/>
      <c r="E66" s="55"/>
      <c r="F66" s="55"/>
      <c r="G66" s="100"/>
      <c r="H66" s="1166"/>
    </row>
    <row r="67" spans="1:8" ht="15" thickBot="1"/>
    <row r="68" spans="1:8" ht="15" customHeight="1" thickBot="1">
      <c r="B68" s="1370" t="s">
        <v>580</v>
      </c>
      <c r="C68" s="1371"/>
      <c r="D68" s="1371"/>
      <c r="E68" s="1371"/>
      <c r="F68" s="1371"/>
      <c r="G68" s="1372"/>
    </row>
  </sheetData>
  <sheetProtection algorithmName="SHA-512" hashValue="vF9wobtkwzcH9Ctsu15Zi/N2ldD/uSoaQwvi1Y9sR5sWTvEUArQ/hz3+pwhpe/T2yskP2DZtB1vo9YLX8j8RUg==" saltValue="S2wz2yaL5cpOFZGyzkVJsQ==" spinCount="100000" sheet="1" objects="1" scenarios="1"/>
  <customSheetViews>
    <customSheetView guid="{CDDBAA41-0D3E-44AF-A85A-332C81A5DAE4}" showGridLines="0" fitToPage="1">
      <pane ySplit="4" topLeftCell="A5" activePane="bottomLeft" state="frozen"/>
      <selection pane="bottomLeft" activeCell="J26" sqref="J26"/>
      <pageMargins left="0.70866141732283472" right="0.70866141732283472" top="0.78740157480314965" bottom="0.78740157480314965" header="0.31496062992125984" footer="0.31496062992125984"/>
      <pageSetup paperSize="9" scale="79" orientation="portrait"/>
      <headerFooter>
        <oddHeader>&amp;C&amp;9Seite 2</oddHeader>
        <oddFooter>&amp;C&amp;8Verhandlungsunterlagen SGB XI&amp;R&amp;8Version Kostenträger Stand: 29.11.2018</oddFooter>
      </headerFooter>
    </customSheetView>
  </customSheetViews>
  <mergeCells count="8">
    <mergeCell ref="A1:H1"/>
    <mergeCell ref="A2:H2"/>
    <mergeCell ref="A3:H3"/>
    <mergeCell ref="A4:H4"/>
    <mergeCell ref="B68:G68"/>
    <mergeCell ref="B63:C63"/>
    <mergeCell ref="B64:C64"/>
    <mergeCell ref="E57:F57"/>
  </mergeCells>
  <conditionalFormatting sqref="C32">
    <cfRule type="expression" dxfId="108" priority="31">
      <formula>$C$32=0</formula>
    </cfRule>
  </conditionalFormatting>
  <conditionalFormatting sqref="D32">
    <cfRule type="expression" dxfId="107" priority="30">
      <formula>$D$32=0</formula>
    </cfRule>
  </conditionalFormatting>
  <conditionalFormatting sqref="E20 E34 E54">
    <cfRule type="expression" dxfId="105" priority="32">
      <formula>$E$20=0</formula>
    </cfRule>
  </conditionalFormatting>
  <conditionalFormatting sqref="E32">
    <cfRule type="expression" dxfId="104" priority="29">
      <formula>$E$32=0</formula>
    </cfRule>
  </conditionalFormatting>
  <dataValidations xWindow="724" yWindow="384" count="5">
    <dataValidation type="time" errorStyle="warning" allowBlank="1" showInputMessage="1" showErrorMessage="1" errorTitle="Nur Teilstationär" error="Beginn der Öffnungszeit eintragen, Möglichkeit ab 6:00 Uhr bis 12:00 Uhr" promptTitle="Öffnungszeiten Teilstationär" prompt="Bitte die Uhrzeit der Öffnung mit &quot;:&quot;eintragen._x000a_Bsp.: 6:00_x000a_(Beachte: Übereinstimmuung der Uhrzeit mit Versorgungsvertrag)" sqref="E10" xr:uid="{00000000-0002-0000-0300-000000000000}">
      <formula1>0.25</formula1>
      <formula2>0.5</formula2>
    </dataValidation>
    <dataValidation type="time" errorStyle="warning" allowBlank="1" showInputMessage="1" showErrorMessage="1" errorTitle="Nur Teilstationär" error="Ende der Öffnungszeit eintragen, Möglichkeit ab 12:00 Uhr bis 23:00 Uhr" promptTitle="Öffnungszeiten Teilstationär" prompt="Bitte die Uhrzeit (Schließzeit) mit &quot;:&quot; eintragen._x000a_Bsp.: 16:30_x000a_(Beachte: Übereinstimmuung der Uhrzeit mit Versorgungsvertrag)" sqref="G10" xr:uid="{00000000-0002-0000-0300-000001000000}">
      <formula1>0.5</formula1>
      <formula2>0.958333333333333</formula2>
    </dataValidation>
    <dataValidation type="whole" allowBlank="1" showInputMessage="1" showErrorMessage="1" errorTitle="Eintragungsmöglichkeit" error="ganze Zahlen_x000a_ab 70 bis 100_x000a_je nach Einrichtungsart" promptTitle="je nach Einrichtungsart" prompt="teilstationär: 85% bis 100%_x000a_KZP: siehe &quot;Allgemeine Hinweise&quot;_x000a_solitäre KZP: 70% - für das 1. Jahr der Zulassung_x000a_73% - für das 2. Jahr der Zulassung_x000a_mind. 78% bis 100% - nach Ablauf des 2. Jahres der Zulassung_x000a__x000a__x000a_" sqref="G6" xr:uid="{00000000-0002-0000-0300-000002000000}">
      <formula1>70</formula1>
      <formula2>100</formula2>
    </dataValidation>
    <dataValidation type="date" errorStyle="warning" operator="lessThan" allowBlank="1" showInputMessage="1" showErrorMessage="1" errorTitle="Stichtagsdatum prüfen" error="Der Stichtag muss vor dem Prognosezeitraum und soll nicht länger als drei Monate vor der Antragstellung liegen. " promptTitle="Stichtag" prompt="Stichtag maximal drei Monate vor der Antragstellung" sqref="D16" xr:uid="{00000000-0002-0000-0300-000003000000}">
      <formula1>E16</formula1>
    </dataValidation>
    <dataValidation type="date" errorStyle="warning" allowBlank="1" showInputMessage="1" showErrorMessage="1" errorTitle="Datum prüfen" error="Das Vorjahresende muss vor der Prognose liegen!_x000a_" sqref="C17" xr:uid="{00000000-0002-0000-0300-000004000000}">
      <formula1>C16</formula1>
      <formula2>E16</formula2>
    </dataValidation>
  </dataValidations>
  <hyperlinks>
    <hyperlink ref="B68" location="'Anlage 1'!A1" display="Anlage 1" xr:uid="{00000000-0004-0000-0300-000000000000}"/>
    <hyperlink ref="B68:G68" location="Personalkostenaufstellung!A1" display="gehe weiter zu Personalkostenaufstellung" xr:uid="{00000000-0004-0000-0300-000001000000}"/>
  </hyperlinks>
  <pageMargins left="0.70866141732283472" right="0.70866141732283472" top="0.78740157480314965" bottom="0.78740157480314965" header="0.31496062992125984" footer="0.31496062992125984"/>
  <pageSetup paperSize="9" scale="77" orientation="portrait"/>
  <headerFooter>
    <oddHeader>&amp;C&amp;9Seite 2</oddHeader>
    <oddFooter>&amp;L&amp;8Version: 21.11.2024&amp;C&amp;8Verhandlungsunterlagen TP/KZP SGB XI&amp;R&amp;8PSK vom 07.11.2024</oddFooter>
  </headerFooter>
  <extLst>
    <ext xmlns:x14="http://schemas.microsoft.com/office/spreadsheetml/2009/9/main" uri="{78C0D931-6437-407d-A8EE-F0AAD7539E65}">
      <x14:conditionalFormattings>
        <x14:conditionalFormatting xmlns:xm="http://schemas.microsoft.com/office/excel/2006/main">
          <x14:cfRule type="expression" priority="33" id="{377315F0-4AD2-4C69-A041-554AADB1FFF0}">
            <xm:f>'Allgemeine Angaben'!$D$7&lt;&gt;"tst"</xm:f>
            <x14:dxf>
              <font>
                <strike val="0"/>
                <color theme="0"/>
              </font>
              <fill>
                <patternFill>
                  <bgColor theme="0"/>
                </patternFill>
              </fill>
              <border>
                <left/>
                <right/>
                <top/>
                <bottom/>
                <vertical/>
                <horizontal/>
              </border>
            </x14:dxf>
          </x14:cfRule>
          <xm:sqref>B10:G11</xm:sqref>
        </x14:conditionalFormatting>
        <x14:conditionalFormatting xmlns:xm="http://schemas.microsoft.com/office/excel/2006/main">
          <x14:cfRule type="expression" priority="15" id="{F96FA367-64B2-48C2-8C1C-29B0DACE7160}">
            <xm:f>'Allgemeine Angaben'!$D$7="tst"</xm:f>
            <x14:dxf>
              <font>
                <color theme="0" tint="-0.14996795556505021"/>
              </font>
              <fill>
                <patternFill>
                  <bgColor theme="0" tint="-0.24994659260841701"/>
                </patternFill>
              </fill>
              <border>
                <left/>
                <right/>
                <bottom/>
                <vertical/>
                <horizontal/>
              </border>
            </x14:dxf>
          </x14:cfRule>
          <xm:sqref>C18</xm:sqref>
        </x14:conditionalFormatting>
        <x14:conditionalFormatting xmlns:xm="http://schemas.microsoft.com/office/excel/2006/main">
          <x14:cfRule type="expression" priority="6" id="{406FF2E9-842A-4524-9A1B-68F162D5F3A4}">
            <xm:f>KAT!$A$34="nein"</xm:f>
            <x14:dxf>
              <fill>
                <patternFill>
                  <bgColor theme="0"/>
                </patternFill>
              </fill>
            </x14:dxf>
          </x14:cfRule>
          <xm:sqref>C19</xm:sqref>
        </x14:conditionalFormatting>
        <x14:conditionalFormatting xmlns:xm="http://schemas.microsoft.com/office/excel/2006/main">
          <x14:cfRule type="expression" priority="5" id="{A33630BF-CD8F-4F6D-BC55-5E9481FB2940}">
            <xm:f>KAT!$A$34="nein"</xm:f>
            <x14:dxf>
              <fill>
                <patternFill>
                  <bgColor theme="0"/>
                </patternFill>
              </fill>
            </x14:dxf>
          </x14:cfRule>
          <xm:sqref>E8</xm:sqref>
        </x14:conditionalFormatting>
        <x14:conditionalFormatting xmlns:xm="http://schemas.microsoft.com/office/excel/2006/main">
          <x14:cfRule type="expression" priority="1" id="{AA841851-E30F-43E5-BF0C-F7831BEE3796}">
            <xm:f>KAT!$A$34="nein"</xm:f>
            <x14:dxf>
              <fill>
                <patternFill>
                  <bgColor theme="0"/>
                </patternFill>
              </fill>
            </x14:dxf>
          </x14:cfRule>
          <xm:sqref>E34</xm:sqref>
        </x14:conditionalFormatting>
        <x14:conditionalFormatting xmlns:xm="http://schemas.microsoft.com/office/excel/2006/main">
          <x14:cfRule type="expression" priority="9" id="{51EFC2CE-C9B8-486B-9597-CE62FBC00573}">
            <xm:f>KAT!$A$34="nein"</xm:f>
            <x14:dxf>
              <fill>
                <patternFill>
                  <bgColor theme="0"/>
                </patternFill>
              </fill>
            </x14:dxf>
          </x14:cfRule>
          <xm:sqref>G7:G8</xm:sqref>
        </x14:conditionalFormatting>
        <x14:conditionalFormatting xmlns:xm="http://schemas.microsoft.com/office/excel/2006/main">
          <x14:cfRule type="expression" priority="13" id="{895CD6D8-F355-41BF-A4D1-9CC6B3B7EEB1}">
            <xm:f>'Allgemeine Angaben'!$D$7&lt;&gt;"tst"</xm:f>
            <x14:dxf>
              <font>
                <strike val="0"/>
                <color theme="0"/>
              </font>
              <fill>
                <patternFill>
                  <bgColor theme="0"/>
                </patternFill>
              </fill>
              <border>
                <left/>
                <right/>
                <top/>
                <bottom/>
                <vertical/>
                <horizontal/>
              </border>
            </x14:dxf>
          </x14:cfRule>
          <xm:sqref>G9</xm:sqref>
        </x14:conditionalFormatting>
        <x14:conditionalFormatting xmlns:xm="http://schemas.microsoft.com/office/excel/2006/main">
          <x14:cfRule type="expression" priority="2" id="{48E61B9A-4D84-4E29-8677-FC48CFADDB1E}">
            <xm:f>KAT!$A$34="nein"</xm:f>
            <x14:dxf>
              <fill>
                <patternFill>
                  <bgColor theme="0"/>
                </patternFill>
              </fill>
            </x14:dxf>
          </x14:cfRule>
          <x14:cfRule type="expression" priority="17" id="{564692B9-82C8-4425-8224-C8D4E7B96A11}">
            <xm:f>'Allgemeine Angaben'!$D$6:$G$6=""</xm:f>
            <x14:dxf>
              <font>
                <color theme="0"/>
              </font>
            </x14:dxf>
          </x14:cfRule>
          <xm:sqref>G27:G29</xm:sqref>
        </x14:conditionalFormatting>
        <x14:conditionalFormatting xmlns:xm="http://schemas.microsoft.com/office/excel/2006/main">
          <x14:cfRule type="expression" priority="7" id="{2F07F61E-83A9-4D00-A6D4-91964D9E315F}">
            <xm:f>KAT!$A$34="nein"</xm:f>
            <x14:dxf>
              <fill>
                <patternFill>
                  <bgColor theme="0"/>
                </patternFill>
              </fill>
            </x14:dxf>
          </x14:cfRule>
          <xm:sqref>H7:H9</xm:sqref>
        </x14:conditionalFormatting>
      </x14:conditionalFormattings>
    </ext>
    <ext xmlns:x14="http://schemas.microsoft.com/office/spreadsheetml/2009/9/main" uri="{CCE6A557-97BC-4b89-ADB6-D9C93CAAB3DF}">
      <x14:dataValidations xmlns:xm="http://schemas.microsoft.com/office/excel/2006/main" xWindow="724" yWindow="384" count="1">
        <x14:dataValidation type="list" allowBlank="1" showInputMessage="1" showErrorMessage="1" errorTitle="jährliche Öffnungstage" error="bitte aus Liste wählen" promptTitle="je nach Einrichtungsart wählen" prompt="KZP: 365 Tage/Jahr_x000a_teilstationär Mo-Fr: 250 Tage/Jahr_x000a_teilstationär Mo-Sa: 312 Tage/Jahr_x000a_teilstationär Mo-So: 365 Tage/Jahr" xr:uid="{00000000-0002-0000-0300-000005000000}">
          <x14:formula1>
            <xm:f>KAT!$D$2:$D$5</xm:f>
          </x14:formula1>
          <xm:sqref>D8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179"/>
  <sheetViews>
    <sheetView showGridLines="0" zoomScaleNormal="100" workbookViewId="0">
      <selection activeCell="A2" sqref="A2"/>
    </sheetView>
  </sheetViews>
  <sheetFormatPr baseColWidth="10" defaultRowHeight="12.75"/>
  <cols>
    <col min="1" max="2" width="23.625" style="1" customWidth="1"/>
    <col min="3" max="3" width="8.75" style="1" customWidth="1"/>
    <col min="4" max="4" width="13.25" style="1" customWidth="1"/>
    <col min="5" max="5" width="16" style="1" customWidth="1"/>
    <col min="6" max="6" width="17.5" style="1" customWidth="1"/>
    <col min="7" max="8" width="16.375" style="1" customWidth="1"/>
    <col min="9" max="9" width="9.125" style="1" customWidth="1"/>
    <col min="10" max="10" width="7.375" style="1" customWidth="1"/>
    <col min="11" max="11" width="5.75" style="1" customWidth="1"/>
    <col min="12" max="12" width="14.875" style="1" customWidth="1"/>
    <col min="13" max="13" width="23.625" style="1" customWidth="1"/>
    <col min="14" max="15" width="12.125" style="1" customWidth="1"/>
    <col min="16" max="16" width="10.75" style="1" customWidth="1"/>
    <col min="17" max="17" width="9.625" style="1" customWidth="1"/>
    <col min="18" max="18" width="12.875" style="1" customWidth="1"/>
    <col min="19" max="20" width="11" style="1"/>
    <col min="21" max="23" width="12.5" style="1" customWidth="1"/>
    <col min="24" max="24" width="17.25" style="1" customWidth="1"/>
    <col min="25" max="25" width="14.5" style="1" customWidth="1"/>
    <col min="26" max="26" width="6.75" style="1" hidden="1" customWidth="1"/>
    <col min="27" max="44" width="14.5" style="1" hidden="1" customWidth="1"/>
    <col min="45" max="50" width="11" style="1" hidden="1" customWidth="1"/>
    <col min="51" max="52" width="11" style="1" customWidth="1"/>
    <col min="53" max="16384" width="11" style="1"/>
  </cols>
  <sheetData>
    <row r="1" spans="1:50" ht="15.75">
      <c r="A1" s="690" t="s">
        <v>517</v>
      </c>
      <c r="B1" s="690"/>
      <c r="C1" s="691"/>
      <c r="D1" s="691"/>
      <c r="E1" s="691"/>
      <c r="F1" s="691"/>
      <c r="G1" s="691"/>
      <c r="H1" s="691"/>
      <c r="I1" s="691"/>
      <c r="J1" s="691"/>
      <c r="K1" s="691"/>
      <c r="L1" s="691"/>
      <c r="M1" s="691"/>
      <c r="N1" s="691"/>
      <c r="O1" s="691"/>
      <c r="P1" s="691"/>
      <c r="Q1" s="691"/>
      <c r="R1" s="691"/>
      <c r="S1" s="691"/>
      <c r="T1" s="691"/>
      <c r="U1" s="691"/>
      <c r="V1" s="691"/>
      <c r="W1" s="691"/>
      <c r="X1" s="691"/>
      <c r="Z1" s="1092"/>
      <c r="AA1" s="1017"/>
      <c r="AB1" s="1017"/>
      <c r="AC1" s="1017"/>
      <c r="AD1" s="1017"/>
      <c r="AE1" s="1017"/>
      <c r="AF1" s="1017"/>
      <c r="AG1" s="1017"/>
      <c r="AH1" s="1017"/>
      <c r="AI1" s="1017"/>
      <c r="AJ1" s="1017"/>
      <c r="AK1" s="1017"/>
      <c r="AL1" s="1017"/>
      <c r="AM1" s="1017"/>
      <c r="AN1" s="1017"/>
      <c r="AO1" s="1017"/>
      <c r="AP1" s="1017"/>
      <c r="AQ1" s="1017"/>
      <c r="AR1" s="1017"/>
      <c r="AW1" s="929"/>
      <c r="AX1" s="823"/>
    </row>
    <row r="2" spans="1:50" ht="15.75" thickBot="1">
      <c r="A2" s="692"/>
      <c r="B2" s="692"/>
      <c r="C2" s="691"/>
      <c r="D2" s="691"/>
      <c r="E2" s="691"/>
      <c r="F2" s="691"/>
      <c r="G2" s="691"/>
      <c r="H2" s="691"/>
      <c r="I2" s="691"/>
      <c r="J2" s="691"/>
      <c r="K2" s="691"/>
      <c r="L2" s="691"/>
      <c r="M2" s="691"/>
      <c r="N2" s="691"/>
      <c r="O2" s="691"/>
      <c r="P2" s="691"/>
      <c r="Q2" s="691"/>
      <c r="R2" s="691"/>
      <c r="S2" s="691"/>
      <c r="T2" s="691"/>
      <c r="U2" s="691"/>
      <c r="V2" s="691"/>
      <c r="W2" s="691"/>
      <c r="X2" s="691"/>
      <c r="Z2" s="1092"/>
      <c r="AA2" s="1017"/>
      <c r="AB2" s="1017"/>
      <c r="AC2" s="1017"/>
      <c r="AD2" s="1017"/>
      <c r="AE2" s="1017"/>
      <c r="AF2" s="1017"/>
      <c r="AG2" s="1017"/>
      <c r="AH2" s="1017"/>
      <c r="AI2" s="1017"/>
      <c r="AJ2" s="1017"/>
      <c r="AK2" s="1017"/>
      <c r="AL2" s="1017"/>
      <c r="AM2" s="1017"/>
      <c r="AN2" s="1017"/>
      <c r="AO2" s="1017"/>
      <c r="AP2" s="1017"/>
      <c r="AQ2" s="1017"/>
      <c r="AR2" s="1017"/>
      <c r="AW2" s="804"/>
      <c r="AX2" s="930"/>
    </row>
    <row r="3" spans="1:50" ht="15" customHeight="1">
      <c r="A3" s="950" t="s">
        <v>437</v>
      </c>
      <c r="B3" s="956">
        <f>IFERROR('Allgemeine Angaben'!D12:D12,"")</f>
        <v>0</v>
      </c>
      <c r="C3" s="807"/>
      <c r="D3" s="807"/>
      <c r="E3" s="807"/>
      <c r="F3" s="951"/>
      <c r="G3" s="807" t="s">
        <v>437</v>
      </c>
      <c r="H3" s="807"/>
      <c r="I3" s="693">
        <f>B3</f>
        <v>0</v>
      </c>
      <c r="J3" s="693"/>
      <c r="K3" s="693"/>
      <c r="L3" s="693"/>
      <c r="M3" s="694"/>
      <c r="N3" s="694"/>
      <c r="O3" s="694"/>
      <c r="P3" s="807"/>
      <c r="Q3" s="807" t="str">
        <f>IF('Allgemeine Angaben'!L6="","",'Allgemeine Angaben'!L6)</f>
        <v/>
      </c>
      <c r="R3" s="694"/>
      <c r="S3" s="694"/>
      <c r="T3" s="694"/>
      <c r="U3" s="694"/>
      <c r="V3" s="694"/>
      <c r="W3" s="694"/>
      <c r="X3" s="694"/>
      <c r="Y3" s="695"/>
      <c r="Z3" s="1092"/>
      <c r="AA3" s="1017"/>
      <c r="AB3" s="1017"/>
      <c r="AC3" s="1017"/>
      <c r="AD3" s="1017"/>
      <c r="AE3" s="1017"/>
      <c r="AF3" s="1017"/>
      <c r="AG3" s="1017"/>
      <c r="AH3" s="1017"/>
      <c r="AI3" s="1017"/>
      <c r="AJ3" s="1017"/>
      <c r="AK3" s="1017"/>
      <c r="AL3" s="1017"/>
      <c r="AM3" s="1017"/>
      <c r="AN3" s="1017"/>
      <c r="AO3" s="1017"/>
      <c r="AP3" s="1017"/>
      <c r="AQ3" s="1017"/>
      <c r="AR3" s="1017"/>
      <c r="AS3" s="1" t="s">
        <v>198</v>
      </c>
      <c r="AW3" s="806"/>
    </row>
    <row r="4" spans="1:50" ht="15" customHeight="1">
      <c r="A4" s="699" t="s">
        <v>530</v>
      </c>
      <c r="B4" s="957">
        <f>IFERROR('Allgemeine Angaben'!D16:D16,"")</f>
        <v>0</v>
      </c>
      <c r="C4" s="704"/>
      <c r="D4" s="704"/>
      <c r="E4" s="704"/>
      <c r="F4" s="952"/>
      <c r="G4" s="704" t="s">
        <v>530</v>
      </c>
      <c r="H4" s="704"/>
      <c r="I4" s="949">
        <f t="shared" ref="I4:I5" si="0">B4</f>
        <v>0</v>
      </c>
      <c r="J4" s="949"/>
      <c r="K4" s="949"/>
      <c r="L4" s="949"/>
      <c r="M4" s="697"/>
      <c r="N4" s="697"/>
      <c r="O4" s="697"/>
      <c r="P4" s="704"/>
      <c r="Q4" s="704"/>
      <c r="R4" s="697"/>
      <c r="S4" s="697"/>
      <c r="T4" s="697"/>
      <c r="U4" s="697"/>
      <c r="V4" s="697"/>
      <c r="W4" s="697"/>
      <c r="X4" s="697"/>
      <c r="Y4" s="698"/>
      <c r="Z4" s="1092"/>
      <c r="AA4" s="1017"/>
      <c r="AB4" s="1017"/>
      <c r="AC4" s="1017"/>
      <c r="AD4" s="1017"/>
      <c r="AE4" s="1017"/>
      <c r="AF4" s="1017"/>
      <c r="AG4" s="1017"/>
      <c r="AH4" s="1017"/>
      <c r="AI4" s="1017"/>
      <c r="AJ4" s="1017"/>
      <c r="AK4" s="1017"/>
      <c r="AL4" s="1017"/>
      <c r="AM4" s="1017"/>
      <c r="AN4" s="1017"/>
      <c r="AO4" s="1017"/>
      <c r="AP4" s="1017"/>
      <c r="AQ4" s="1017"/>
      <c r="AR4" s="1017"/>
      <c r="AW4" s="806"/>
    </row>
    <row r="5" spans="1:50" ht="15" customHeight="1" thickBot="1">
      <c r="A5" s="947" t="s">
        <v>4</v>
      </c>
      <c r="B5" s="876">
        <f>IFERROR('Allgemeine Angaben'!L6:L6,"")</f>
        <v>0</v>
      </c>
      <c r="C5" s="948"/>
      <c r="D5" s="948"/>
      <c r="E5" s="948" t="s">
        <v>531</v>
      </c>
      <c r="F5" s="958">
        <f>IFERROR('Allgemeine Angaben'!L4:L4,"")</f>
        <v>0</v>
      </c>
      <c r="G5" s="704" t="s">
        <v>4</v>
      </c>
      <c r="H5" s="704"/>
      <c r="I5" s="949">
        <f t="shared" si="0"/>
        <v>0</v>
      </c>
      <c r="J5" s="949"/>
      <c r="K5" s="949"/>
      <c r="L5" s="949" t="s">
        <v>531</v>
      </c>
      <c r="M5" s="1079">
        <f>F5</f>
        <v>0</v>
      </c>
      <c r="N5" s="1079"/>
      <c r="O5" s="697"/>
      <c r="P5" s="704"/>
      <c r="Q5" s="704"/>
      <c r="R5" s="697"/>
      <c r="S5" s="697"/>
      <c r="T5" s="697"/>
      <c r="U5" s="697"/>
      <c r="V5" s="697"/>
      <c r="W5" s="697"/>
      <c r="X5" s="697"/>
      <c r="Y5" s="698"/>
      <c r="Z5" s="1092"/>
      <c r="AA5" s="1017"/>
      <c r="AB5" s="1017"/>
      <c r="AC5" s="1017"/>
      <c r="AD5" s="1017"/>
      <c r="AE5" s="1017"/>
      <c r="AF5" s="1017"/>
      <c r="AG5" s="1017"/>
      <c r="AH5" s="1017"/>
      <c r="AI5" s="1017"/>
      <c r="AJ5" s="1017"/>
      <c r="AK5" s="1017"/>
      <c r="AL5" s="1017"/>
      <c r="AM5" s="1017"/>
      <c r="AN5" s="1017"/>
      <c r="AO5" s="1017"/>
      <c r="AP5" s="1017"/>
      <c r="AQ5" s="1017"/>
      <c r="AR5" s="1017"/>
      <c r="AW5" s="806"/>
    </row>
    <row r="6" spans="1:50" ht="15" customHeight="1" thickBot="1">
      <c r="A6" s="808" t="str">
        <f>'Allgemeine Angaben'!A3:N3</f>
        <v/>
      </c>
      <c r="B6" s="809"/>
      <c r="C6" s="809"/>
      <c r="D6" s="809"/>
      <c r="E6" s="809"/>
      <c r="F6" s="810"/>
      <c r="G6" s="1443" t="s">
        <v>438</v>
      </c>
      <c r="H6" s="1444"/>
      <c r="I6" s="1445"/>
      <c r="J6" s="1445"/>
      <c r="K6" s="1445"/>
      <c r="L6" s="1445"/>
      <c r="M6" s="1445"/>
      <c r="N6" s="1445"/>
      <c r="O6" s="1445"/>
      <c r="P6" s="1445"/>
      <c r="Q6" s="1445"/>
      <c r="R6" s="1445"/>
      <c r="S6" s="1445"/>
      <c r="T6" s="1445"/>
      <c r="U6" s="1445"/>
      <c r="V6" s="1445"/>
      <c r="W6" s="1445"/>
      <c r="X6" s="1445"/>
      <c r="Y6" s="1446"/>
      <c r="Z6" s="1093"/>
      <c r="AA6" s="1018"/>
      <c r="AB6" s="1018"/>
      <c r="AC6" s="1018"/>
      <c r="AD6" s="1018"/>
      <c r="AE6" s="1018"/>
      <c r="AF6" s="1018"/>
      <c r="AG6" s="1018"/>
      <c r="AH6" s="1018"/>
      <c r="AI6" s="1018"/>
      <c r="AJ6" s="1018"/>
      <c r="AK6" s="1018"/>
      <c r="AL6" s="1018"/>
      <c r="AM6" s="1018"/>
      <c r="AN6" s="1018"/>
      <c r="AO6" s="1018"/>
      <c r="AP6" s="1018"/>
      <c r="AQ6" s="1018"/>
      <c r="AR6" s="1018"/>
      <c r="AW6" s="806"/>
    </row>
    <row r="7" spans="1:50" ht="15" customHeight="1">
      <c r="A7" s="969"/>
      <c r="B7" s="970"/>
      <c r="C7" s="971"/>
      <c r="D7" s="971"/>
      <c r="E7" s="971"/>
      <c r="F7" s="972"/>
      <c r="G7" s="834"/>
      <c r="H7" s="697"/>
      <c r="I7" s="697"/>
      <c r="J7" s="704" t="s">
        <v>548</v>
      </c>
      <c r="K7" s="697"/>
      <c r="L7" s="697"/>
      <c r="M7" s="702"/>
      <c r="N7" s="706"/>
      <c r="O7" s="697"/>
      <c r="P7" s="697"/>
      <c r="Q7" s="697"/>
      <c r="R7" s="697"/>
      <c r="S7" s="697"/>
      <c r="T7" s="697"/>
      <c r="U7" s="697"/>
      <c r="V7" s="697"/>
      <c r="W7" s="697"/>
      <c r="X7" s="697"/>
      <c r="Y7" s="698"/>
      <c r="Z7" s="1092"/>
      <c r="AA7" s="1017"/>
      <c r="AB7" s="1017"/>
      <c r="AC7" s="1017"/>
      <c r="AD7" s="1017"/>
      <c r="AE7" s="1017"/>
      <c r="AF7" s="1017"/>
      <c r="AG7" s="1017"/>
      <c r="AH7" s="1017"/>
      <c r="AI7" s="1017"/>
      <c r="AJ7" s="1017"/>
      <c r="AK7" s="1017"/>
      <c r="AL7" s="1017"/>
      <c r="AM7" s="1017"/>
      <c r="AN7" s="1017"/>
      <c r="AO7" s="1017"/>
      <c r="AP7" s="1017"/>
      <c r="AQ7" s="1017"/>
      <c r="AR7" s="1017"/>
      <c r="AW7" s="806"/>
    </row>
    <row r="8" spans="1:50" ht="15" customHeight="1">
      <c r="A8" s="973" t="s">
        <v>505</v>
      </c>
      <c r="B8" s="974"/>
      <c r="C8" s="975"/>
      <c r="D8" s="975"/>
      <c r="E8" s="975"/>
      <c r="F8" s="976"/>
      <c r="G8" s="696"/>
      <c r="H8" s="697"/>
      <c r="I8" s="704"/>
      <c r="J8" s="704" t="s">
        <v>574</v>
      </c>
      <c r="K8" s="701"/>
      <c r="L8" s="701"/>
      <c r="M8" s="1015"/>
      <c r="N8" s="705"/>
      <c r="O8" s="773"/>
      <c r="P8" s="774"/>
      <c r="Q8" s="774"/>
      <c r="R8" s="697"/>
      <c r="S8" s="697"/>
      <c r="T8" s="697"/>
      <c r="U8" s="697"/>
      <c r="V8" s="697"/>
      <c r="W8" s="697"/>
      <c r="X8" s="697"/>
      <c r="Y8" s="698"/>
      <c r="Z8" s="1092"/>
      <c r="AA8" s="1017"/>
      <c r="AB8" s="1017"/>
      <c r="AC8" s="1017"/>
      <c r="AD8" s="1017"/>
      <c r="AE8" s="1017"/>
      <c r="AF8" s="1017"/>
      <c r="AG8" s="1017"/>
      <c r="AH8" s="1017"/>
      <c r="AI8" s="1017"/>
      <c r="AJ8" s="1017"/>
      <c r="AK8" s="1017"/>
      <c r="AL8" s="1017"/>
      <c r="AM8" s="1017"/>
      <c r="AN8" s="1017"/>
      <c r="AO8" s="1017"/>
      <c r="AP8" s="1017"/>
      <c r="AQ8" s="1017"/>
      <c r="AR8" s="1017"/>
    </row>
    <row r="9" spans="1:50" ht="15" customHeight="1">
      <c r="A9" s="973"/>
      <c r="B9" s="974"/>
      <c r="C9" s="977"/>
      <c r="D9" s="977"/>
      <c r="E9" s="977"/>
      <c r="F9" s="976"/>
      <c r="G9" s="696"/>
      <c r="H9" s="697"/>
      <c r="I9" s="833"/>
      <c r="J9" s="833" t="s">
        <v>549</v>
      </c>
      <c r="K9" s="701"/>
      <c r="L9" s="704"/>
      <c r="M9" s="1461"/>
      <c r="N9" s="1462"/>
      <c r="O9" s="1462"/>
      <c r="P9" s="1462"/>
      <c r="Q9" s="1463"/>
      <c r="R9" s="697"/>
      <c r="S9" s="697"/>
      <c r="T9" s="697"/>
      <c r="U9" s="697"/>
      <c r="V9" s="697"/>
      <c r="W9" s="697"/>
      <c r="X9" s="697"/>
      <c r="Y9" s="698"/>
      <c r="Z9" s="1092"/>
      <c r="AA9" s="1017"/>
      <c r="AB9" s="1017"/>
      <c r="AC9" s="1017"/>
      <c r="AD9" s="1017"/>
      <c r="AE9" s="1017"/>
      <c r="AF9" s="1017"/>
      <c r="AG9" s="1017"/>
      <c r="AH9" s="1017"/>
      <c r="AI9" s="1017"/>
      <c r="AJ9" s="1017"/>
      <c r="AK9" s="1017"/>
      <c r="AL9" s="1017"/>
      <c r="AM9" s="1017"/>
      <c r="AN9" s="1017"/>
      <c r="AO9" s="1017"/>
      <c r="AP9" s="1017"/>
      <c r="AQ9" s="1017"/>
      <c r="AR9" s="1017"/>
      <c r="AW9" s="806"/>
    </row>
    <row r="10" spans="1:50" ht="14.25">
      <c r="A10" s="978" t="s">
        <v>208</v>
      </c>
      <c r="B10" s="979"/>
      <c r="C10" s="980"/>
      <c r="D10" s="1090"/>
      <c r="E10" s="980"/>
      <c r="F10" s="981"/>
      <c r="G10" s="835"/>
      <c r="H10" s="700"/>
      <c r="I10" s="704"/>
      <c r="J10" s="704" t="s">
        <v>439</v>
      </c>
      <c r="K10" s="706"/>
      <c r="L10" s="706"/>
      <c r="M10" s="1456"/>
      <c r="N10" s="1457"/>
      <c r="O10" s="1457"/>
      <c r="P10" s="1457"/>
      <c r="Q10" s="1458"/>
      <c r="R10" s="707"/>
      <c r="S10" s="708"/>
      <c r="T10" s="708"/>
      <c r="U10" s="709"/>
      <c r="V10" s="709"/>
      <c r="W10" s="709"/>
      <c r="X10" s="700"/>
      <c r="Y10" s="698"/>
      <c r="Z10" s="1092"/>
      <c r="AA10" s="1017"/>
      <c r="AB10" s="1017"/>
      <c r="AC10" s="1017"/>
      <c r="AD10" s="1017"/>
      <c r="AE10" s="1017"/>
      <c r="AF10" s="1017"/>
      <c r="AG10" s="1017"/>
      <c r="AH10" s="1017"/>
      <c r="AI10" s="1017"/>
      <c r="AJ10" s="1017"/>
      <c r="AK10" s="1017"/>
      <c r="AL10" s="1017"/>
      <c r="AM10" s="1017"/>
      <c r="AN10" s="1017"/>
      <c r="AO10" s="1017"/>
      <c r="AP10" s="1017"/>
      <c r="AQ10" s="1017"/>
      <c r="AR10" s="1017"/>
      <c r="AS10" s="1" t="s">
        <v>200</v>
      </c>
    </row>
    <row r="11" spans="1:50" ht="15" customHeight="1">
      <c r="A11" s="982"/>
      <c r="B11" s="983"/>
      <c r="C11" s="980"/>
      <c r="D11" s="983"/>
      <c r="E11" s="980"/>
      <c r="F11" s="981"/>
      <c r="G11" s="835"/>
      <c r="H11" s="700"/>
      <c r="I11" s="704"/>
      <c r="J11" s="705"/>
      <c r="K11" s="706"/>
      <c r="L11" s="706"/>
      <c r="M11" s="705"/>
      <c r="N11" s="705"/>
      <c r="O11" s="706"/>
      <c r="P11" s="705"/>
      <c r="Q11" s="706"/>
      <c r="R11" s="707"/>
      <c r="S11" s="708"/>
      <c r="T11" s="708"/>
      <c r="U11" s="709"/>
      <c r="V11" s="709"/>
      <c r="W11" s="709"/>
      <c r="X11" s="700"/>
      <c r="Y11" s="698"/>
      <c r="Z11" s="1092"/>
      <c r="AA11" s="1017"/>
      <c r="AB11" s="1017"/>
      <c r="AC11" s="1017"/>
      <c r="AD11" s="1017"/>
      <c r="AE11" s="1017"/>
      <c r="AF11" s="1017"/>
      <c r="AG11" s="1017"/>
      <c r="AH11" s="1017"/>
      <c r="AI11" s="1017"/>
      <c r="AJ11" s="1017"/>
      <c r="AK11" s="1017"/>
      <c r="AL11" s="1017"/>
      <c r="AM11" s="1017"/>
      <c r="AN11" s="1017"/>
      <c r="AO11" s="1017"/>
      <c r="AP11" s="1017"/>
      <c r="AQ11" s="1017"/>
      <c r="AR11" s="1017"/>
      <c r="AW11" s="21"/>
    </row>
    <row r="12" spans="1:50">
      <c r="A12" s="984" t="s">
        <v>209</v>
      </c>
      <c r="B12" s="985"/>
      <c r="C12" s="986"/>
      <c r="D12" s="1090"/>
      <c r="E12" s="986"/>
      <c r="F12" s="987"/>
      <c r="G12" s="699"/>
      <c r="H12" s="704"/>
      <c r="I12" s="704"/>
      <c r="J12" s="704" t="s">
        <v>440</v>
      </c>
      <c r="K12" s="704"/>
      <c r="L12" s="704"/>
      <c r="M12" s="704"/>
      <c r="N12" s="704"/>
      <c r="O12" s="704"/>
      <c r="P12" s="913"/>
      <c r="Q12" s="704" t="s">
        <v>441</v>
      </c>
      <c r="R12" s="711" t="s">
        <v>442</v>
      </c>
      <c r="S12" s="712"/>
      <c r="T12" s="712"/>
      <c r="U12" s="712"/>
      <c r="V12" s="712"/>
      <c r="W12" s="712"/>
      <c r="X12" s="712"/>
      <c r="Y12" s="713"/>
      <c r="Z12" s="1092"/>
      <c r="AA12" s="1017"/>
      <c r="AB12" s="1017"/>
      <c r="AC12" s="1017"/>
      <c r="AD12" s="1017"/>
      <c r="AE12" s="1017"/>
      <c r="AF12" s="1017"/>
      <c r="AG12" s="1017"/>
      <c r="AH12" s="1017"/>
      <c r="AI12" s="1017"/>
      <c r="AJ12" s="1017"/>
      <c r="AK12" s="1017"/>
      <c r="AL12" s="1017"/>
      <c r="AM12" s="1017"/>
      <c r="AN12" s="1017"/>
      <c r="AO12" s="1017"/>
      <c r="AP12" s="1017"/>
      <c r="AQ12" s="1017"/>
      <c r="AR12" s="1017"/>
    </row>
    <row r="13" spans="1:50">
      <c r="A13" s="988"/>
      <c r="B13" s="989"/>
      <c r="C13" s="983"/>
      <c r="D13" s="983"/>
      <c r="E13" s="983"/>
      <c r="F13" s="990"/>
      <c r="G13" s="836"/>
      <c r="H13" s="996"/>
      <c r="I13" s="704"/>
      <c r="J13" s="704" t="s">
        <v>443</v>
      </c>
      <c r="K13" s="704"/>
      <c r="L13" s="704"/>
      <c r="M13" s="704"/>
      <c r="N13" s="704"/>
      <c r="O13" s="704"/>
      <c r="P13" s="913"/>
      <c r="Q13" s="704" t="s">
        <v>441</v>
      </c>
      <c r="R13" s="714" t="s">
        <v>444</v>
      </c>
      <c r="S13" s="703"/>
      <c r="T13" s="703"/>
      <c r="U13" s="710"/>
      <c r="V13" s="715"/>
      <c r="W13" s="715"/>
      <c r="X13" s="715"/>
      <c r="Y13" s="716"/>
      <c r="Z13" s="229"/>
      <c r="AA13" s="1091"/>
      <c r="AB13" s="1091"/>
      <c r="AC13" s="1091"/>
      <c r="AD13" s="1091"/>
      <c r="AE13" s="1091"/>
      <c r="AF13" s="1091"/>
      <c r="AG13" s="1091"/>
      <c r="AH13" s="1091"/>
      <c r="AI13" s="1091"/>
      <c r="AJ13" s="1091"/>
      <c r="AK13" s="1091"/>
      <c r="AL13" s="1091"/>
      <c r="AM13" s="1091"/>
      <c r="AN13" s="1091"/>
      <c r="AO13" s="1091"/>
      <c r="AP13" s="1091"/>
      <c r="AQ13" s="1091"/>
      <c r="AR13" s="1091"/>
      <c r="AU13" s="1" t="s">
        <v>12</v>
      </c>
      <c r="AV13" s="1" t="s">
        <v>445</v>
      </c>
    </row>
    <row r="14" spans="1:50">
      <c r="A14" s="991"/>
      <c r="B14" s="977"/>
      <c r="C14" s="983"/>
      <c r="D14" s="983"/>
      <c r="E14" s="983"/>
      <c r="F14" s="987"/>
      <c r="G14" s="699"/>
      <c r="H14" s="704"/>
      <c r="I14" s="704"/>
      <c r="J14" s="704"/>
      <c r="K14" s="704"/>
      <c r="L14" s="704"/>
      <c r="M14" s="704"/>
      <c r="N14" s="704"/>
      <c r="O14" s="704"/>
      <c r="P14" s="704"/>
      <c r="Q14" s="704"/>
      <c r="R14" s="717" t="s">
        <v>446</v>
      </c>
      <c r="S14" s="710"/>
      <c r="T14" s="710"/>
      <c r="U14" s="710"/>
      <c r="V14" s="715"/>
      <c r="W14" s="715"/>
      <c r="X14" s="715"/>
      <c r="Y14" s="716"/>
      <c r="Z14" s="229"/>
      <c r="AA14" s="1091"/>
      <c r="AB14" s="1091"/>
      <c r="AC14" s="1091"/>
      <c r="AD14" s="1091"/>
      <c r="AE14" s="1091"/>
      <c r="AF14" s="1091"/>
      <c r="AG14" s="1091"/>
      <c r="AH14" s="1091"/>
      <c r="AI14" s="1091"/>
      <c r="AJ14" s="1091"/>
      <c r="AK14" s="1091"/>
      <c r="AL14" s="1091"/>
      <c r="AM14" s="1091"/>
      <c r="AN14" s="1091"/>
      <c r="AO14" s="1091"/>
      <c r="AP14" s="1091"/>
      <c r="AQ14" s="1091"/>
      <c r="AR14" s="1091"/>
      <c r="AU14" s="1" t="s">
        <v>447</v>
      </c>
      <c r="AV14" s="1" t="s">
        <v>448</v>
      </c>
      <c r="AW14" s="806"/>
    </row>
    <row r="15" spans="1:50" ht="13.5" thickBot="1">
      <c r="A15" s="992"/>
      <c r="B15" s="993"/>
      <c r="C15" s="994"/>
      <c r="D15" s="994"/>
      <c r="E15" s="994"/>
      <c r="F15" s="995"/>
      <c r="G15" s="718"/>
      <c r="H15" s="719"/>
      <c r="I15" s="876"/>
      <c r="J15" s="876" t="s">
        <v>524</v>
      </c>
      <c r="K15" s="719"/>
      <c r="L15" s="719"/>
      <c r="M15" s="719"/>
      <c r="N15" s="719"/>
      <c r="O15" s="719"/>
      <c r="P15" s="913"/>
      <c r="Q15" s="704" t="s">
        <v>441</v>
      </c>
      <c r="R15" s="719"/>
      <c r="S15" s="719"/>
      <c r="T15" s="719"/>
      <c r="U15" s="719"/>
      <c r="V15" s="719"/>
      <c r="W15" s="719"/>
      <c r="X15" s="719"/>
      <c r="Y15" s="720"/>
      <c r="Z15" s="1092"/>
      <c r="AA15" s="1017"/>
      <c r="AB15" s="1017"/>
      <c r="AC15" s="1017"/>
      <c r="AD15" s="1017"/>
      <c r="AE15" s="1017"/>
      <c r="AF15" s="1017"/>
      <c r="AG15" s="1017"/>
      <c r="AH15" s="1017"/>
      <c r="AI15" s="1017"/>
      <c r="AJ15" s="1017"/>
      <c r="AK15" s="1017"/>
      <c r="AL15" s="1017"/>
      <c r="AM15" s="1017"/>
      <c r="AN15" s="1017"/>
      <c r="AO15" s="1017"/>
      <c r="AP15" s="1017"/>
      <c r="AQ15" s="1017"/>
      <c r="AR15" s="1017"/>
      <c r="AU15" s="1" t="s">
        <v>449</v>
      </c>
    </row>
    <row r="16" spans="1:50" ht="15" customHeight="1" thickBot="1">
      <c r="A16" s="1464" t="s">
        <v>507</v>
      </c>
      <c r="B16" s="1465"/>
      <c r="C16" s="1465"/>
      <c r="D16" s="1465"/>
      <c r="E16" s="1465"/>
      <c r="F16" s="1466"/>
      <c r="G16" s="1447" t="s">
        <v>438</v>
      </c>
      <c r="H16" s="1447"/>
      <c r="I16" s="1448"/>
      <c r="J16" s="1448"/>
      <c r="K16" s="1448"/>
      <c r="L16" s="1448"/>
      <c r="M16" s="1448"/>
      <c r="N16" s="1448"/>
      <c r="O16" s="1448"/>
      <c r="P16" s="1448"/>
      <c r="Q16" s="1448"/>
      <c r="R16" s="1448"/>
      <c r="S16" s="1448"/>
      <c r="T16" s="1448"/>
      <c r="U16" s="1448"/>
      <c r="V16" s="1448"/>
      <c r="W16" s="1448"/>
      <c r="X16" s="1448"/>
      <c r="Y16" s="1449"/>
      <c r="Z16" s="1094"/>
      <c r="AA16" s="1019"/>
      <c r="AB16" s="1019"/>
      <c r="AC16" s="1019"/>
      <c r="AD16" s="1019"/>
      <c r="AE16" s="1019"/>
      <c r="AF16" s="1019"/>
      <c r="AG16" s="1019"/>
      <c r="AH16" s="1019"/>
      <c r="AI16" s="1019"/>
      <c r="AJ16" s="1019"/>
      <c r="AK16" s="1019"/>
      <c r="AL16" s="1019"/>
      <c r="AM16" s="1019"/>
      <c r="AN16" s="1019"/>
      <c r="AO16" s="1019"/>
      <c r="AP16" s="1019"/>
      <c r="AQ16" s="1019"/>
      <c r="AR16" s="1019"/>
      <c r="AU16" s="1" t="s">
        <v>450</v>
      </c>
      <c r="AW16" s="806"/>
    </row>
    <row r="17" spans="1:50" ht="51" customHeight="1">
      <c r="A17" s="1467" t="s">
        <v>532</v>
      </c>
      <c r="B17" s="1470" t="s">
        <v>572</v>
      </c>
      <c r="C17" s="1473" t="s">
        <v>452</v>
      </c>
      <c r="D17" s="1473" t="s">
        <v>453</v>
      </c>
      <c r="E17" s="1473" t="s">
        <v>538</v>
      </c>
      <c r="F17" s="1476" t="s">
        <v>539</v>
      </c>
      <c r="G17" s="1439" t="s">
        <v>579</v>
      </c>
      <c r="H17" s="1442" t="s">
        <v>573</v>
      </c>
      <c r="I17" s="1442" t="s">
        <v>529</v>
      </c>
      <c r="J17" s="1442" t="s">
        <v>454</v>
      </c>
      <c r="K17" s="1442" t="s">
        <v>451</v>
      </c>
      <c r="L17" s="1482" t="s">
        <v>525</v>
      </c>
      <c r="M17" s="1453" t="s">
        <v>546</v>
      </c>
      <c r="N17" s="1454"/>
      <c r="O17" s="1454"/>
      <c r="P17" s="1454"/>
      <c r="Q17" s="1454"/>
      <c r="R17" s="1454"/>
      <c r="S17" s="1455"/>
      <c r="T17" s="1459" t="s">
        <v>545</v>
      </c>
      <c r="U17" s="1460"/>
      <c r="V17" s="1485" t="s">
        <v>547</v>
      </c>
      <c r="W17" s="1486"/>
      <c r="X17" s="1442" t="s">
        <v>455</v>
      </c>
      <c r="Y17" s="1442" t="s">
        <v>456</v>
      </c>
      <c r="Z17" s="1095"/>
      <c r="AA17" s="1020"/>
      <c r="AB17" s="1020"/>
      <c r="AC17" s="1020"/>
      <c r="AD17" s="1020"/>
      <c r="AE17" s="1020"/>
      <c r="AF17" s="1020"/>
      <c r="AG17" s="1020"/>
      <c r="AH17" s="1020"/>
      <c r="AI17" s="1020"/>
      <c r="AJ17" s="1020"/>
      <c r="AK17" s="1020"/>
      <c r="AL17" s="1020"/>
      <c r="AM17" s="1020"/>
      <c r="AN17" s="1020"/>
      <c r="AO17" s="1020"/>
      <c r="AP17" s="1020"/>
      <c r="AQ17" s="1020"/>
      <c r="AR17" s="1020"/>
      <c r="AU17" s="1" t="s">
        <v>457</v>
      </c>
      <c r="AW17" s="825"/>
    </row>
    <row r="18" spans="1:50" ht="60.75" customHeight="1">
      <c r="A18" s="1468"/>
      <c r="B18" s="1471"/>
      <c r="C18" s="1474"/>
      <c r="D18" s="1474"/>
      <c r="E18" s="1474"/>
      <c r="F18" s="1477"/>
      <c r="G18" s="1440"/>
      <c r="H18" s="1442"/>
      <c r="I18" s="1442"/>
      <c r="J18" s="1442"/>
      <c r="K18" s="1442"/>
      <c r="L18" s="1440"/>
      <c r="M18" s="1480" t="s">
        <v>458</v>
      </c>
      <c r="N18" s="1479" t="s">
        <v>577</v>
      </c>
      <c r="O18" s="1479" t="s">
        <v>540</v>
      </c>
      <c r="P18" s="1479" t="s">
        <v>543</v>
      </c>
      <c r="Q18" s="1479"/>
      <c r="R18" s="1479" t="s">
        <v>544</v>
      </c>
      <c r="S18" s="1479"/>
      <c r="T18" s="1480" t="s">
        <v>459</v>
      </c>
      <c r="U18" s="1479" t="s">
        <v>460</v>
      </c>
      <c r="V18" s="1485" t="s">
        <v>610</v>
      </c>
      <c r="W18" s="1486"/>
      <c r="X18" s="1442"/>
      <c r="Y18" s="1442"/>
      <c r="Z18" s="1095"/>
      <c r="AA18" s="1487" t="s">
        <v>554</v>
      </c>
      <c r="AB18" s="1487"/>
      <c r="AC18" s="1487"/>
      <c r="AD18" s="1487"/>
      <c r="AE18" s="1487"/>
      <c r="AF18" s="1487"/>
      <c r="AG18" s="1487"/>
      <c r="AH18" s="1487"/>
      <c r="AI18" s="1487"/>
      <c r="AJ18" s="1487"/>
      <c r="AK18" s="1487"/>
      <c r="AL18" s="1487"/>
      <c r="AM18" s="1487"/>
      <c r="AN18" s="1487"/>
      <c r="AO18" s="1487"/>
      <c r="AP18" s="1487"/>
      <c r="AQ18" s="1487"/>
      <c r="AR18" s="1487"/>
      <c r="AX18" s="1452"/>
    </row>
    <row r="19" spans="1:50" ht="51" customHeight="1" thickBot="1">
      <c r="A19" s="1469"/>
      <c r="B19" s="1472"/>
      <c r="C19" s="1475"/>
      <c r="D19" s="1475"/>
      <c r="E19" s="1475"/>
      <c r="F19" s="1478"/>
      <c r="G19" s="1441"/>
      <c r="H19" s="1442"/>
      <c r="I19" s="1442"/>
      <c r="J19" s="1442"/>
      <c r="K19" s="1442"/>
      <c r="L19" s="1441"/>
      <c r="M19" s="1481"/>
      <c r="N19" s="1479"/>
      <c r="O19" s="1479"/>
      <c r="P19" s="1005" t="s">
        <v>541</v>
      </c>
      <c r="Q19" s="1005" t="s">
        <v>542</v>
      </c>
      <c r="R19" s="1005" t="s">
        <v>541</v>
      </c>
      <c r="S19" s="1005" t="s">
        <v>542</v>
      </c>
      <c r="T19" s="1481"/>
      <c r="U19" s="1479"/>
      <c r="V19" s="1003" t="s">
        <v>541</v>
      </c>
      <c r="W19" s="1003" t="s">
        <v>542</v>
      </c>
      <c r="X19" s="1442"/>
      <c r="Y19" s="1442"/>
      <c r="Z19" s="1095"/>
      <c r="AA19" s="1016" t="s">
        <v>576</v>
      </c>
      <c r="AB19" s="1016" t="s">
        <v>551</v>
      </c>
      <c r="AC19" s="1016" t="s">
        <v>559</v>
      </c>
      <c r="AD19" s="1016" t="s">
        <v>560</v>
      </c>
      <c r="AE19" s="1016" t="s">
        <v>576</v>
      </c>
      <c r="AF19" s="1016" t="s">
        <v>551</v>
      </c>
      <c r="AG19" s="1016" t="s">
        <v>559</v>
      </c>
      <c r="AH19" s="1016" t="s">
        <v>560</v>
      </c>
      <c r="AI19" s="1016" t="s">
        <v>576</v>
      </c>
      <c r="AJ19" s="1016" t="s">
        <v>551</v>
      </c>
      <c r="AK19" s="1016" t="s">
        <v>559</v>
      </c>
      <c r="AL19" s="1016" t="s">
        <v>560</v>
      </c>
      <c r="AM19" s="1483" t="s">
        <v>552</v>
      </c>
      <c r="AN19" s="1483"/>
      <c r="AO19" s="1483"/>
      <c r="AP19" s="1484" t="s">
        <v>553</v>
      </c>
      <c r="AQ19" s="1484"/>
      <c r="AR19" s="1484"/>
      <c r="AU19" s="931" t="s">
        <v>461</v>
      </c>
      <c r="AX19" s="1452"/>
    </row>
    <row r="20" spans="1:50" ht="3.75" customHeight="1">
      <c r="A20" s="1008"/>
      <c r="B20" s="1009"/>
      <c r="C20" s="1006"/>
      <c r="D20" s="1006"/>
      <c r="E20" s="1006"/>
      <c r="F20" s="1006"/>
      <c r="G20" s="1006"/>
      <c r="H20" s="1007"/>
      <c r="I20" s="1006"/>
      <c r="J20" s="1006"/>
      <c r="K20" s="1006"/>
      <c r="L20" s="1006"/>
      <c r="M20" s="1007"/>
      <c r="N20" s="1007"/>
      <c r="O20" s="1007"/>
      <c r="P20" s="1006"/>
      <c r="Q20" s="1006"/>
      <c r="R20" s="1006"/>
      <c r="S20" s="1006"/>
      <c r="T20" s="1007"/>
      <c r="U20" s="1007"/>
      <c r="V20" s="1006"/>
      <c r="W20" s="1006"/>
      <c r="X20" s="1006"/>
      <c r="Y20" s="1006"/>
      <c r="Z20" s="1095"/>
      <c r="AA20" s="1006"/>
      <c r="AB20" s="1006"/>
      <c r="AC20" s="1006"/>
      <c r="AD20" s="1006"/>
      <c r="AE20" s="1006"/>
      <c r="AF20" s="1006"/>
      <c r="AG20" s="1006"/>
      <c r="AH20" s="1006"/>
      <c r="AI20" s="1006"/>
      <c r="AJ20" s="1006"/>
      <c r="AK20" s="1006"/>
      <c r="AL20" s="1006"/>
      <c r="AM20" s="1006"/>
      <c r="AN20" s="1006"/>
      <c r="AO20" s="1006"/>
      <c r="AP20" s="1006"/>
      <c r="AQ20" s="1006"/>
      <c r="AR20" s="1006"/>
      <c r="AU20" s="932"/>
      <c r="AX20" s="1452"/>
    </row>
    <row r="21" spans="1:50" ht="15" customHeight="1" thickBot="1">
      <c r="A21" s="945" t="s">
        <v>462</v>
      </c>
      <c r="B21" s="959"/>
      <c r="C21" s="960"/>
      <c r="D21" s="960"/>
      <c r="E21" s="960"/>
      <c r="F21" s="961"/>
      <c r="G21" s="1033" t="s">
        <v>462</v>
      </c>
      <c r="H21" s="997"/>
      <c r="I21" s="960"/>
      <c r="J21" s="960"/>
      <c r="K21" s="960"/>
      <c r="L21" s="960"/>
      <c r="M21" s="960"/>
      <c r="N21" s="960"/>
      <c r="O21" s="960"/>
      <c r="P21" s="960"/>
      <c r="Q21" s="960"/>
      <c r="R21" s="960"/>
      <c r="S21" s="960"/>
      <c r="T21" s="960"/>
      <c r="U21" s="960" t="s">
        <v>112</v>
      </c>
      <c r="V21" s="960"/>
      <c r="W21" s="960"/>
      <c r="X21" s="960"/>
      <c r="Y21" s="1004"/>
      <c r="Z21" s="1092"/>
      <c r="AA21" s="1021" t="s">
        <v>535</v>
      </c>
      <c r="AB21" s="1021" t="s">
        <v>535</v>
      </c>
      <c r="AC21" s="1021" t="s">
        <v>535</v>
      </c>
      <c r="AD21" s="1021" t="s">
        <v>535</v>
      </c>
      <c r="AE21" s="1022" t="s">
        <v>555</v>
      </c>
      <c r="AF21" s="1022" t="s">
        <v>555</v>
      </c>
      <c r="AG21" s="1022" t="s">
        <v>555</v>
      </c>
      <c r="AH21" s="1022" t="s">
        <v>555</v>
      </c>
      <c r="AI21" s="1023" t="s">
        <v>556</v>
      </c>
      <c r="AJ21" s="1023" t="s">
        <v>556</v>
      </c>
      <c r="AK21" s="1023" t="s">
        <v>556</v>
      </c>
      <c r="AL21" s="1023" t="s">
        <v>556</v>
      </c>
      <c r="AM21" s="1021" t="s">
        <v>535</v>
      </c>
      <c r="AN21" s="1022" t="s">
        <v>555</v>
      </c>
      <c r="AO21" s="1023" t="s">
        <v>556</v>
      </c>
      <c r="AP21" s="1021" t="s">
        <v>535</v>
      </c>
      <c r="AQ21" s="1022" t="s">
        <v>555</v>
      </c>
      <c r="AR21" s="1023" t="s">
        <v>556</v>
      </c>
      <c r="AU21" s="932" t="s">
        <v>448</v>
      </c>
      <c r="AX21" s="1452"/>
    </row>
    <row r="22" spans="1:50">
      <c r="A22" s="1187"/>
      <c r="B22" s="1188"/>
      <c r="C22" s="1189"/>
      <c r="D22" s="1039"/>
      <c r="E22" s="1039"/>
      <c r="F22" s="722">
        <f>IF(ISERROR(E22/C22),0,(E22/C22))</f>
        <v>0</v>
      </c>
      <c r="G22" s="922"/>
      <c r="H22" s="1110"/>
      <c r="I22" s="917"/>
      <c r="J22" s="896"/>
      <c r="K22" s="896"/>
      <c r="L22" s="898"/>
      <c r="M22" s="933">
        <f>IFERROR(L22*I22,"")</f>
        <v>0</v>
      </c>
      <c r="N22" s="858"/>
      <c r="O22" s="858"/>
      <c r="P22" s="858"/>
      <c r="Q22" s="858"/>
      <c r="R22" s="858"/>
      <c r="S22" s="858"/>
      <c r="T22" s="723"/>
      <c r="U22" s="723"/>
      <c r="V22" s="723"/>
      <c r="W22" s="723"/>
      <c r="X22" s="724">
        <f>IFERROR(IF(G22&lt;&gt;"GfB",(SUM(M22:P22,R22,V22)*12+(T22+U22))*(100+$P$12+$P$13)%+((Q22+S22+W22)*12),(SUM(M22:P22,R22,V22)*12+(T22+U22))*(100+$P$15+$P$13)%+((Q22+S22+W22)*12)),0)</f>
        <v>0</v>
      </c>
      <c r="Y22" s="722">
        <f>IF(ISERROR(X22/I22),0,(X22/I22))</f>
        <v>0</v>
      </c>
      <c r="Z22" s="1096"/>
      <c r="AA22" s="1108">
        <f>IF(AND($H22="PFK/BFK",$I22&gt;0,$L22&gt;0),($M22+$N22),0)</f>
        <v>0</v>
      </c>
      <c r="AB22" s="740">
        <f>IF(AND($H22="PFK/BFK",$I22&gt;0,$L22&gt;0),$O22,0)</f>
        <v>0</v>
      </c>
      <c r="AC22" s="740">
        <f>IF(AND($H22="PFK/BFK",$I22&gt;0,$L22&gt;0),($P22+$Q22),0)</f>
        <v>0</v>
      </c>
      <c r="AD22" s="740">
        <f>IF(AND($H22="PFK/BFK",$I22&gt;0,$L22&gt;0),(($T22+$U22)/12),0)</f>
        <v>0</v>
      </c>
      <c r="AE22" s="1108">
        <f>IF(AND($H22="PK/BK",$I22&gt;0,$L22&gt;0),($M22+$N22),0)</f>
        <v>0</v>
      </c>
      <c r="AF22" s="740">
        <f>IF(AND($H22="PK/BK",$I22&gt;0,$L22&gt;0),$O22,0)</f>
        <v>0</v>
      </c>
      <c r="AG22" s="740">
        <f>IF(AND($H22="PK/BK",$I22&gt;0,$L22&gt;0),($P22+$Q22),0)</f>
        <v>0</v>
      </c>
      <c r="AH22" s="740">
        <f>IF(AND($H22="PK/BK",$I22&gt;0,$L22&gt;0),(($T22+$U22)/12),0)</f>
        <v>0</v>
      </c>
      <c r="AI22" s="1108">
        <f>IF(AND($H22="PK/BK o.",$I22&gt;0,$L22&gt;0),($M22+$N22),0)</f>
        <v>0</v>
      </c>
      <c r="AJ22" s="740">
        <f>IF(AND($H22="PK/BK o.",$I22&gt;0,$L22&gt;0),$O22,0)</f>
        <v>0</v>
      </c>
      <c r="AK22" s="740">
        <f>IF(AND($H22="PK/BK o.",$I22&gt;0,$L22&gt;0),($P22+$Q22),0)</f>
        <v>0</v>
      </c>
      <c r="AL22" s="740">
        <f>IF(AND($H22="PK/BK o.",$I22&gt;0,$L22&gt;0),(($T22+$U22)/12),0)</f>
        <v>0</v>
      </c>
      <c r="AM22" s="740">
        <f>IF(AND($H22="PFK/BFK",$I22&gt;0,$L22&gt;0),$I22,0)</f>
        <v>0</v>
      </c>
      <c r="AN22" s="1108">
        <f>IF(AND($H22="PK/BK",$I22&gt;0,$L22&gt;0),$I22,0)</f>
        <v>0</v>
      </c>
      <c r="AO22" s="740">
        <f>IF(AND($H22="PK/BK o.",$I22&gt;0,$L22&gt;0),$I22,0)</f>
        <v>0</v>
      </c>
      <c r="AP22" s="740">
        <f>IF(AND($H22="PFK/BFK",$I22&gt;0,$L22&gt;0),$X22,0)</f>
        <v>0</v>
      </c>
      <c r="AQ22" s="740">
        <f>IF(AND($H22="PK/BK",$I22&gt;0,$L22&gt;0),$X22,0)</f>
        <v>0</v>
      </c>
      <c r="AR22" s="740">
        <f>IF(AND($H22="PK/BK o.",$I22&gt;0,$L22&gt;0),$X22,0)</f>
        <v>0</v>
      </c>
      <c r="AU22" s="932" t="s">
        <v>463</v>
      </c>
    </row>
    <row r="23" spans="1:50">
      <c r="A23" s="1190"/>
      <c r="B23" s="1191"/>
      <c r="C23" s="862"/>
      <c r="D23" s="727"/>
      <c r="E23" s="727"/>
      <c r="F23" s="725">
        <f t="shared" ref="F23:F48" si="1">IF(ISERROR(E23/C23),0,(E23/C23))</f>
        <v>0</v>
      </c>
      <c r="G23" s="897"/>
      <c r="H23" s="1110"/>
      <c r="I23" s="916"/>
      <c r="J23" s="896"/>
      <c r="K23" s="896"/>
      <c r="L23" s="898"/>
      <c r="M23" s="933">
        <f t="shared" ref="M23:M48" si="2">IFERROR(L23*I23,"")</f>
        <v>0</v>
      </c>
      <c r="N23" s="858"/>
      <c r="O23" s="858"/>
      <c r="P23" s="858"/>
      <c r="Q23" s="858"/>
      <c r="R23" s="858"/>
      <c r="S23" s="898"/>
      <c r="T23" s="898"/>
      <c r="U23" s="723"/>
      <c r="V23" s="723"/>
      <c r="W23" s="723"/>
      <c r="X23" s="724">
        <f t="shared" ref="X23:X48" si="3">IFERROR(IF(G23&lt;&gt;"GfB",(SUM(M23:P23,R23,V23)*12+(T23+U23))*(100+$P$12+$P$13)%+((Q23+S23+W23)*12),(SUM(M23:P23,R23,V23)*12+(T23+U23))*(100+$P$15+$P$13)%+((Q23+S23+W23)*12)),0)</f>
        <v>0</v>
      </c>
      <c r="Y23" s="1041">
        <f t="shared" ref="Y23:Y48" si="4">IF(ISERROR(X23/I23),0,(X23/I23))</f>
        <v>0</v>
      </c>
      <c r="Z23" s="1096"/>
      <c r="AA23" s="1108">
        <f t="shared" ref="AA23:AA48" si="5">IF(AND($H23="PFK/BFK",$I23&gt;0,$L23&gt;0),($M23+$N23),0)</f>
        <v>0</v>
      </c>
      <c r="AB23" s="740">
        <f t="shared" ref="AB23:AB48" si="6">IF(AND($H23="PFK/BFK",$I23&gt;0,$L23&gt;0),$O23,0)</f>
        <v>0</v>
      </c>
      <c r="AC23" s="740">
        <f>IF(AND($H23="PFK/BFK",$I23&gt;0,$L23&gt;0),($P23+$Q23),0)</f>
        <v>0</v>
      </c>
      <c r="AD23" s="740">
        <f>IF(AND($H23="PFK/BFK",$I23&gt;0,$L23&gt;0),(($T23+$U23)/12),0)</f>
        <v>0</v>
      </c>
      <c r="AE23" s="1108">
        <f t="shared" ref="AE23:AE48" si="7">IF(AND($H23="PK/BK",$I23&gt;0,$L23&gt;0),($M23+$N23),0)</f>
        <v>0</v>
      </c>
      <c r="AF23" s="740">
        <f t="shared" ref="AF23:AF48" si="8">IF(AND($H23="PK/BK",$I23&gt;0,$L23&gt;0),$O23,0)</f>
        <v>0</v>
      </c>
      <c r="AG23" s="740">
        <f t="shared" ref="AG23:AG48" si="9">IF(AND($H23="PK/BK",$I23&gt;0,$L23&gt;0),($P23+$Q23),0)</f>
        <v>0</v>
      </c>
      <c r="AH23" s="740">
        <f t="shared" ref="AH23:AH48" si="10">IF(AND($H23="PK/BK",$I23&gt;0,$L23&gt;0),(($T23+$U23)/12),0)</f>
        <v>0</v>
      </c>
      <c r="AI23" s="1108">
        <f t="shared" ref="AI23:AI48" si="11">IF(AND($H23="PK/BK o.",$I23&gt;0,$L23&gt;0),($M23+$N23),0)</f>
        <v>0</v>
      </c>
      <c r="AJ23" s="740">
        <f t="shared" ref="AJ23:AJ48" si="12">IF(AND($H23="PK/BK o.",$I23&gt;0,$L23&gt;0),$O23,0)</f>
        <v>0</v>
      </c>
      <c r="AK23" s="740">
        <f t="shared" ref="AK23:AK48" si="13">IF(AND($H23="PK/BK o.",$I23&gt;0,$L23&gt;0),($P23+$Q23),0)</f>
        <v>0</v>
      </c>
      <c r="AL23" s="740">
        <f t="shared" ref="AL23:AL48" si="14">IF(AND($H23="PK/BK o.",$I23&gt;0,$L23&gt;0),(($T23+$U23)/12),0)</f>
        <v>0</v>
      </c>
      <c r="AM23" s="740">
        <f t="shared" ref="AM23:AM48" si="15">IF(AND($H23="PFK/BFK",$I23&gt;0,$L23&gt;0),$I23,0)</f>
        <v>0</v>
      </c>
      <c r="AN23" s="1108">
        <f t="shared" ref="AN23:AN48" si="16">IF(AND($H23="PK/BK",$I23&gt;0,$L23&gt;0),$I23,0)</f>
        <v>0</v>
      </c>
      <c r="AO23" s="740">
        <f t="shared" ref="AO23:AO48" si="17">IF(AND($H23="PK/BK o.",$I23&gt;0,$L23&gt;0),$I23,0)</f>
        <v>0</v>
      </c>
      <c r="AP23" s="740">
        <f t="shared" ref="AP23:AP48" si="18">IF(AND($H23="PFK/BFK",$I23&gt;0,$L23&gt;0),$X23,0)</f>
        <v>0</v>
      </c>
      <c r="AQ23" s="740">
        <f t="shared" ref="AQ23:AQ48" si="19">IF(AND($H23="PK/BK",$I23&gt;0,$L23&gt;0),$X23,0)</f>
        <v>0</v>
      </c>
      <c r="AR23" s="740">
        <f t="shared" ref="AR23:AR48" si="20">IF(AND($H23="PK/BK o.",$I23&gt;0,$L23&gt;0),$X23,0)</f>
        <v>0</v>
      </c>
      <c r="AU23" s="932" t="s">
        <v>464</v>
      </c>
      <c r="AX23" s="934"/>
    </row>
    <row r="24" spans="1:50">
      <c r="A24" s="1190"/>
      <c r="B24" s="1191"/>
      <c r="C24" s="862"/>
      <c r="D24" s="727"/>
      <c r="E24" s="727"/>
      <c r="F24" s="725">
        <f t="shared" si="1"/>
        <v>0</v>
      </c>
      <c r="G24" s="877"/>
      <c r="H24" s="998"/>
      <c r="I24" s="861"/>
      <c r="J24" s="859"/>
      <c r="K24" s="859"/>
      <c r="L24" s="898"/>
      <c r="M24" s="933">
        <f t="shared" si="2"/>
        <v>0</v>
      </c>
      <c r="N24" s="860"/>
      <c r="O24" s="860"/>
      <c r="P24" s="860"/>
      <c r="Q24" s="860"/>
      <c r="R24" s="860"/>
      <c r="S24" s="860"/>
      <c r="T24" s="727"/>
      <c r="U24" s="727"/>
      <c r="V24" s="723"/>
      <c r="W24" s="723"/>
      <c r="X24" s="724">
        <f>IFERROR(IF(G24&lt;&gt;"GfB",(SUM(M24:P24,R24,V24)*12+(T24+U24))*(100+$P$12+$P$13)%+((Q24+S24+W24)*12),(SUM(M24:P24,R24,V24)*12+(T24+U24))*(100+$P$15+$P$13)%+((Q24+S24+W24)*12)),0)</f>
        <v>0</v>
      </c>
      <c r="Y24" s="1041">
        <f t="shared" si="4"/>
        <v>0</v>
      </c>
      <c r="Z24" s="1096"/>
      <c r="AA24" s="1108">
        <f t="shared" si="5"/>
        <v>0</v>
      </c>
      <c r="AB24" s="740">
        <f t="shared" si="6"/>
        <v>0</v>
      </c>
      <c r="AC24" s="740">
        <f t="shared" ref="AC24:AC48" si="21">IF(AND($H24="PFK/BFK",$I24&gt;0,$L24&gt;0),($P24+$Q24),0)</f>
        <v>0</v>
      </c>
      <c r="AD24" s="740">
        <f t="shared" ref="AD24:AD48" si="22">IF(AND($H24="PFK/BFK",$I24&gt;0,$L24&gt;0),(($T24+$U24)/12),0)</f>
        <v>0</v>
      </c>
      <c r="AE24" s="1108">
        <f t="shared" si="7"/>
        <v>0</v>
      </c>
      <c r="AF24" s="740">
        <f t="shared" si="8"/>
        <v>0</v>
      </c>
      <c r="AG24" s="740">
        <f t="shared" si="9"/>
        <v>0</v>
      </c>
      <c r="AH24" s="740">
        <f t="shared" si="10"/>
        <v>0</v>
      </c>
      <c r="AI24" s="1108">
        <f t="shared" si="11"/>
        <v>0</v>
      </c>
      <c r="AJ24" s="740">
        <f t="shared" si="12"/>
        <v>0</v>
      </c>
      <c r="AK24" s="740">
        <f t="shared" si="13"/>
        <v>0</v>
      </c>
      <c r="AL24" s="740">
        <f t="shared" si="14"/>
        <v>0</v>
      </c>
      <c r="AM24" s="740">
        <f t="shared" si="15"/>
        <v>0</v>
      </c>
      <c r="AN24" s="1108">
        <f t="shared" si="16"/>
        <v>0</v>
      </c>
      <c r="AO24" s="740">
        <f t="shared" si="17"/>
        <v>0</v>
      </c>
      <c r="AP24" s="740">
        <f t="shared" si="18"/>
        <v>0</v>
      </c>
      <c r="AQ24" s="740">
        <f t="shared" si="19"/>
        <v>0</v>
      </c>
      <c r="AR24" s="740">
        <f t="shared" si="20"/>
        <v>0</v>
      </c>
      <c r="AU24" s="932" t="s">
        <v>465</v>
      </c>
      <c r="AX24" s="56"/>
    </row>
    <row r="25" spans="1:50">
      <c r="A25" s="1190"/>
      <c r="B25" s="1191"/>
      <c r="C25" s="862"/>
      <c r="D25" s="727"/>
      <c r="E25" s="727"/>
      <c r="F25" s="725">
        <f>IF(ISERROR(E25/C25),0,(E25/C25))</f>
        <v>0</v>
      </c>
      <c r="G25" s="877"/>
      <c r="H25" s="998"/>
      <c r="I25" s="861"/>
      <c r="J25" s="859"/>
      <c r="K25" s="859"/>
      <c r="L25" s="898"/>
      <c r="M25" s="933">
        <f t="shared" si="2"/>
        <v>0</v>
      </c>
      <c r="N25" s="860"/>
      <c r="O25" s="860"/>
      <c r="P25" s="860"/>
      <c r="Q25" s="860"/>
      <c r="R25" s="860"/>
      <c r="S25" s="860"/>
      <c r="T25" s="727"/>
      <c r="U25" s="727"/>
      <c r="V25" s="723"/>
      <c r="W25" s="723"/>
      <c r="X25" s="724">
        <f t="shared" si="3"/>
        <v>0</v>
      </c>
      <c r="Y25" s="1041">
        <f t="shared" si="4"/>
        <v>0</v>
      </c>
      <c r="Z25" s="1096"/>
      <c r="AA25" s="1108">
        <f t="shared" si="5"/>
        <v>0</v>
      </c>
      <c r="AB25" s="740">
        <f t="shared" si="6"/>
        <v>0</v>
      </c>
      <c r="AC25" s="740">
        <f t="shared" si="21"/>
        <v>0</v>
      </c>
      <c r="AD25" s="740">
        <f t="shared" si="22"/>
        <v>0</v>
      </c>
      <c r="AE25" s="1108">
        <f t="shared" si="7"/>
        <v>0</v>
      </c>
      <c r="AF25" s="740">
        <f t="shared" si="8"/>
        <v>0</v>
      </c>
      <c r="AG25" s="740">
        <f t="shared" si="9"/>
        <v>0</v>
      </c>
      <c r="AH25" s="740">
        <f t="shared" si="10"/>
        <v>0</v>
      </c>
      <c r="AI25" s="1108">
        <f t="shared" si="11"/>
        <v>0</v>
      </c>
      <c r="AJ25" s="740">
        <f t="shared" si="12"/>
        <v>0</v>
      </c>
      <c r="AK25" s="740">
        <f t="shared" si="13"/>
        <v>0</v>
      </c>
      <c r="AL25" s="740">
        <f t="shared" si="14"/>
        <v>0</v>
      </c>
      <c r="AM25" s="740">
        <f t="shared" si="15"/>
        <v>0</v>
      </c>
      <c r="AN25" s="1108">
        <f t="shared" si="16"/>
        <v>0</v>
      </c>
      <c r="AO25" s="740">
        <f t="shared" si="17"/>
        <v>0</v>
      </c>
      <c r="AP25" s="740">
        <f t="shared" si="18"/>
        <v>0</v>
      </c>
      <c r="AQ25" s="740">
        <f t="shared" si="19"/>
        <v>0</v>
      </c>
      <c r="AR25" s="740">
        <f t="shared" si="20"/>
        <v>0</v>
      </c>
      <c r="AU25" s="935"/>
    </row>
    <row r="26" spans="1:50">
      <c r="A26" s="1190"/>
      <c r="B26" s="1191"/>
      <c r="C26" s="862"/>
      <c r="D26" s="727"/>
      <c r="E26" s="727"/>
      <c r="F26" s="725">
        <f t="shared" si="1"/>
        <v>0</v>
      </c>
      <c r="G26" s="877"/>
      <c r="H26" s="998"/>
      <c r="I26" s="861"/>
      <c r="J26" s="859"/>
      <c r="K26" s="859"/>
      <c r="L26" s="898"/>
      <c r="M26" s="933">
        <f t="shared" si="2"/>
        <v>0</v>
      </c>
      <c r="N26" s="860"/>
      <c r="O26" s="860"/>
      <c r="P26" s="860"/>
      <c r="Q26" s="860"/>
      <c r="R26" s="860"/>
      <c r="S26" s="860"/>
      <c r="T26" s="727"/>
      <c r="U26" s="727"/>
      <c r="V26" s="723"/>
      <c r="W26" s="723"/>
      <c r="X26" s="724">
        <f t="shared" si="3"/>
        <v>0</v>
      </c>
      <c r="Y26" s="1041">
        <f t="shared" si="4"/>
        <v>0</v>
      </c>
      <c r="Z26" s="1096"/>
      <c r="AA26" s="1108">
        <f t="shared" si="5"/>
        <v>0</v>
      </c>
      <c r="AB26" s="740">
        <f t="shared" si="6"/>
        <v>0</v>
      </c>
      <c r="AC26" s="740">
        <f t="shared" si="21"/>
        <v>0</v>
      </c>
      <c r="AD26" s="740">
        <f t="shared" si="22"/>
        <v>0</v>
      </c>
      <c r="AE26" s="1108">
        <f t="shared" si="7"/>
        <v>0</v>
      </c>
      <c r="AF26" s="740">
        <f t="shared" si="8"/>
        <v>0</v>
      </c>
      <c r="AG26" s="740">
        <f t="shared" si="9"/>
        <v>0</v>
      </c>
      <c r="AH26" s="740">
        <f t="shared" si="10"/>
        <v>0</v>
      </c>
      <c r="AI26" s="1108">
        <f t="shared" si="11"/>
        <v>0</v>
      </c>
      <c r="AJ26" s="740">
        <f t="shared" si="12"/>
        <v>0</v>
      </c>
      <c r="AK26" s="740">
        <f t="shared" si="13"/>
        <v>0</v>
      </c>
      <c r="AL26" s="740">
        <f t="shared" si="14"/>
        <v>0</v>
      </c>
      <c r="AM26" s="740">
        <f t="shared" si="15"/>
        <v>0</v>
      </c>
      <c r="AN26" s="1108">
        <f t="shared" si="16"/>
        <v>0</v>
      </c>
      <c r="AO26" s="740">
        <f t="shared" si="17"/>
        <v>0</v>
      </c>
      <c r="AP26" s="740">
        <f t="shared" si="18"/>
        <v>0</v>
      </c>
      <c r="AQ26" s="740">
        <f t="shared" si="19"/>
        <v>0</v>
      </c>
      <c r="AR26" s="740">
        <f t="shared" si="20"/>
        <v>0</v>
      </c>
      <c r="AU26" s="931" t="s">
        <v>461</v>
      </c>
      <c r="AX26" s="56"/>
    </row>
    <row r="27" spans="1:50">
      <c r="A27" s="1190"/>
      <c r="B27" s="1191"/>
      <c r="C27" s="862"/>
      <c r="D27" s="727"/>
      <c r="E27" s="727"/>
      <c r="F27" s="725">
        <f t="shared" si="1"/>
        <v>0</v>
      </c>
      <c r="G27" s="877"/>
      <c r="H27" s="998"/>
      <c r="I27" s="861"/>
      <c r="J27" s="859"/>
      <c r="K27" s="859"/>
      <c r="L27" s="898"/>
      <c r="M27" s="933">
        <f t="shared" si="2"/>
        <v>0</v>
      </c>
      <c r="N27" s="860"/>
      <c r="O27" s="860"/>
      <c r="P27" s="860"/>
      <c r="Q27" s="860"/>
      <c r="R27" s="860"/>
      <c r="S27" s="860"/>
      <c r="T27" s="727"/>
      <c r="U27" s="727"/>
      <c r="V27" s="723"/>
      <c r="W27" s="723"/>
      <c r="X27" s="724">
        <f t="shared" si="3"/>
        <v>0</v>
      </c>
      <c r="Y27" s="1041">
        <f t="shared" si="4"/>
        <v>0</v>
      </c>
      <c r="Z27" s="1096"/>
      <c r="AA27" s="1108">
        <f t="shared" si="5"/>
        <v>0</v>
      </c>
      <c r="AB27" s="740">
        <f t="shared" si="6"/>
        <v>0</v>
      </c>
      <c r="AC27" s="740">
        <f t="shared" si="21"/>
        <v>0</v>
      </c>
      <c r="AD27" s="740">
        <f t="shared" si="22"/>
        <v>0</v>
      </c>
      <c r="AE27" s="1108">
        <f t="shared" si="7"/>
        <v>0</v>
      </c>
      <c r="AF27" s="740">
        <f t="shared" si="8"/>
        <v>0</v>
      </c>
      <c r="AG27" s="740">
        <f t="shared" si="9"/>
        <v>0</v>
      </c>
      <c r="AH27" s="740">
        <f t="shared" si="10"/>
        <v>0</v>
      </c>
      <c r="AI27" s="1108">
        <f t="shared" si="11"/>
        <v>0</v>
      </c>
      <c r="AJ27" s="740">
        <f t="shared" si="12"/>
        <v>0</v>
      </c>
      <c r="AK27" s="740">
        <f t="shared" si="13"/>
        <v>0</v>
      </c>
      <c r="AL27" s="740">
        <f t="shared" si="14"/>
        <v>0</v>
      </c>
      <c r="AM27" s="740">
        <f t="shared" si="15"/>
        <v>0</v>
      </c>
      <c r="AN27" s="1108">
        <f t="shared" si="16"/>
        <v>0</v>
      </c>
      <c r="AO27" s="740">
        <f t="shared" si="17"/>
        <v>0</v>
      </c>
      <c r="AP27" s="740">
        <f t="shared" si="18"/>
        <v>0</v>
      </c>
      <c r="AQ27" s="740">
        <f t="shared" si="19"/>
        <v>0</v>
      </c>
      <c r="AR27" s="740">
        <f t="shared" si="20"/>
        <v>0</v>
      </c>
      <c r="AU27" s="932" t="s">
        <v>448</v>
      </c>
    </row>
    <row r="28" spans="1:50">
      <c r="A28" s="1190"/>
      <c r="B28" s="1191"/>
      <c r="C28" s="862"/>
      <c r="D28" s="727"/>
      <c r="E28" s="727"/>
      <c r="F28" s="725">
        <f t="shared" si="1"/>
        <v>0</v>
      </c>
      <c r="G28" s="877"/>
      <c r="H28" s="998"/>
      <c r="I28" s="861"/>
      <c r="J28" s="859"/>
      <c r="K28" s="859"/>
      <c r="L28" s="898"/>
      <c r="M28" s="933">
        <f t="shared" si="2"/>
        <v>0</v>
      </c>
      <c r="N28" s="860"/>
      <c r="O28" s="860"/>
      <c r="P28" s="860"/>
      <c r="Q28" s="860"/>
      <c r="R28" s="860"/>
      <c r="S28" s="860"/>
      <c r="T28" s="727"/>
      <c r="U28" s="727"/>
      <c r="V28" s="723"/>
      <c r="W28" s="723"/>
      <c r="X28" s="724">
        <f t="shared" si="3"/>
        <v>0</v>
      </c>
      <c r="Y28" s="1041">
        <f t="shared" si="4"/>
        <v>0</v>
      </c>
      <c r="Z28" s="1096"/>
      <c r="AA28" s="1108">
        <f t="shared" si="5"/>
        <v>0</v>
      </c>
      <c r="AB28" s="740">
        <f t="shared" si="6"/>
        <v>0</v>
      </c>
      <c r="AC28" s="740">
        <f t="shared" si="21"/>
        <v>0</v>
      </c>
      <c r="AD28" s="740">
        <f t="shared" si="22"/>
        <v>0</v>
      </c>
      <c r="AE28" s="1108">
        <f t="shared" si="7"/>
        <v>0</v>
      </c>
      <c r="AF28" s="740">
        <f t="shared" si="8"/>
        <v>0</v>
      </c>
      <c r="AG28" s="740">
        <f t="shared" si="9"/>
        <v>0</v>
      </c>
      <c r="AH28" s="740">
        <f t="shared" si="10"/>
        <v>0</v>
      </c>
      <c r="AI28" s="1108">
        <f t="shared" si="11"/>
        <v>0</v>
      </c>
      <c r="AJ28" s="740">
        <f t="shared" si="12"/>
        <v>0</v>
      </c>
      <c r="AK28" s="740">
        <f t="shared" si="13"/>
        <v>0</v>
      </c>
      <c r="AL28" s="740">
        <f t="shared" si="14"/>
        <v>0</v>
      </c>
      <c r="AM28" s="740">
        <f t="shared" si="15"/>
        <v>0</v>
      </c>
      <c r="AN28" s="1108">
        <f t="shared" si="16"/>
        <v>0</v>
      </c>
      <c r="AO28" s="740">
        <f t="shared" si="17"/>
        <v>0</v>
      </c>
      <c r="AP28" s="740">
        <f t="shared" si="18"/>
        <v>0</v>
      </c>
      <c r="AQ28" s="740">
        <f t="shared" si="19"/>
        <v>0</v>
      </c>
      <c r="AR28" s="740">
        <f t="shared" si="20"/>
        <v>0</v>
      </c>
      <c r="AU28" s="932" t="s">
        <v>71</v>
      </c>
    </row>
    <row r="29" spans="1:50">
      <c r="A29" s="1190"/>
      <c r="B29" s="1191"/>
      <c r="C29" s="862"/>
      <c r="D29" s="727"/>
      <c r="E29" s="727"/>
      <c r="F29" s="725">
        <f t="shared" si="1"/>
        <v>0</v>
      </c>
      <c r="G29" s="877"/>
      <c r="H29" s="998"/>
      <c r="I29" s="862"/>
      <c r="J29" s="726"/>
      <c r="K29" s="726"/>
      <c r="L29" s="898"/>
      <c r="M29" s="933">
        <f t="shared" si="2"/>
        <v>0</v>
      </c>
      <c r="N29" s="727"/>
      <c r="O29" s="727"/>
      <c r="P29" s="727"/>
      <c r="Q29" s="727"/>
      <c r="R29" s="727"/>
      <c r="S29" s="727"/>
      <c r="T29" s="727"/>
      <c r="U29" s="727"/>
      <c r="V29" s="723"/>
      <c r="W29" s="723"/>
      <c r="X29" s="724">
        <f t="shared" si="3"/>
        <v>0</v>
      </c>
      <c r="Y29" s="1041">
        <f t="shared" si="4"/>
        <v>0</v>
      </c>
      <c r="Z29" s="1096"/>
      <c r="AA29" s="1108">
        <f t="shared" si="5"/>
        <v>0</v>
      </c>
      <c r="AB29" s="740">
        <f t="shared" si="6"/>
        <v>0</v>
      </c>
      <c r="AC29" s="740">
        <f t="shared" si="21"/>
        <v>0</v>
      </c>
      <c r="AD29" s="740">
        <f t="shared" si="22"/>
        <v>0</v>
      </c>
      <c r="AE29" s="1108">
        <f t="shared" si="7"/>
        <v>0</v>
      </c>
      <c r="AF29" s="740">
        <f t="shared" si="8"/>
        <v>0</v>
      </c>
      <c r="AG29" s="740">
        <f t="shared" si="9"/>
        <v>0</v>
      </c>
      <c r="AH29" s="740">
        <f t="shared" si="10"/>
        <v>0</v>
      </c>
      <c r="AI29" s="1108">
        <f t="shared" si="11"/>
        <v>0</v>
      </c>
      <c r="AJ29" s="740">
        <f t="shared" si="12"/>
        <v>0</v>
      </c>
      <c r="AK29" s="740">
        <f t="shared" si="13"/>
        <v>0</v>
      </c>
      <c r="AL29" s="740">
        <f t="shared" si="14"/>
        <v>0</v>
      </c>
      <c r="AM29" s="740">
        <f t="shared" si="15"/>
        <v>0</v>
      </c>
      <c r="AN29" s="1108">
        <f t="shared" si="16"/>
        <v>0</v>
      </c>
      <c r="AO29" s="740">
        <f t="shared" si="17"/>
        <v>0</v>
      </c>
      <c r="AP29" s="740">
        <f t="shared" si="18"/>
        <v>0</v>
      </c>
      <c r="AQ29" s="740">
        <f t="shared" si="19"/>
        <v>0</v>
      </c>
      <c r="AR29" s="740">
        <f t="shared" si="20"/>
        <v>0</v>
      </c>
      <c r="AU29" s="932" t="s">
        <v>72</v>
      </c>
    </row>
    <row r="30" spans="1:50">
      <c r="A30" s="1190"/>
      <c r="B30" s="1191"/>
      <c r="C30" s="862"/>
      <c r="D30" s="727"/>
      <c r="E30" s="727"/>
      <c r="F30" s="725">
        <f t="shared" si="1"/>
        <v>0</v>
      </c>
      <c r="G30" s="877"/>
      <c r="H30" s="998"/>
      <c r="I30" s="862"/>
      <c r="J30" s="726"/>
      <c r="K30" s="726"/>
      <c r="L30" s="898"/>
      <c r="M30" s="933">
        <f t="shared" si="2"/>
        <v>0</v>
      </c>
      <c r="N30" s="727"/>
      <c r="O30" s="727"/>
      <c r="P30" s="727"/>
      <c r="Q30" s="727"/>
      <c r="R30" s="727"/>
      <c r="S30" s="727"/>
      <c r="T30" s="727"/>
      <c r="U30" s="727"/>
      <c r="V30" s="723"/>
      <c r="W30" s="723"/>
      <c r="X30" s="724">
        <f t="shared" si="3"/>
        <v>0</v>
      </c>
      <c r="Y30" s="1041">
        <f t="shared" si="4"/>
        <v>0</v>
      </c>
      <c r="Z30" s="1096"/>
      <c r="AA30" s="1108">
        <f t="shared" si="5"/>
        <v>0</v>
      </c>
      <c r="AB30" s="740">
        <f t="shared" si="6"/>
        <v>0</v>
      </c>
      <c r="AC30" s="740">
        <f t="shared" si="21"/>
        <v>0</v>
      </c>
      <c r="AD30" s="740">
        <f t="shared" si="22"/>
        <v>0</v>
      </c>
      <c r="AE30" s="1108">
        <f t="shared" si="7"/>
        <v>0</v>
      </c>
      <c r="AF30" s="740">
        <f t="shared" si="8"/>
        <v>0</v>
      </c>
      <c r="AG30" s="740">
        <f t="shared" si="9"/>
        <v>0</v>
      </c>
      <c r="AH30" s="740">
        <f t="shared" si="10"/>
        <v>0</v>
      </c>
      <c r="AI30" s="1108">
        <f t="shared" si="11"/>
        <v>0</v>
      </c>
      <c r="AJ30" s="740">
        <f t="shared" si="12"/>
        <v>0</v>
      </c>
      <c r="AK30" s="740">
        <f t="shared" si="13"/>
        <v>0</v>
      </c>
      <c r="AL30" s="740">
        <f t="shared" si="14"/>
        <v>0</v>
      </c>
      <c r="AM30" s="740">
        <f t="shared" si="15"/>
        <v>0</v>
      </c>
      <c r="AN30" s="1108">
        <f t="shared" si="16"/>
        <v>0</v>
      </c>
      <c r="AO30" s="740">
        <f t="shared" si="17"/>
        <v>0</v>
      </c>
      <c r="AP30" s="740">
        <f t="shared" si="18"/>
        <v>0</v>
      </c>
      <c r="AQ30" s="740">
        <f t="shared" si="19"/>
        <v>0</v>
      </c>
      <c r="AR30" s="740">
        <f t="shared" si="20"/>
        <v>0</v>
      </c>
      <c r="AU30" s="932" t="s">
        <v>466</v>
      </c>
    </row>
    <row r="31" spans="1:50">
      <c r="A31" s="1190"/>
      <c r="B31" s="1191"/>
      <c r="C31" s="862"/>
      <c r="D31" s="727"/>
      <c r="E31" s="727"/>
      <c r="F31" s="725">
        <f t="shared" si="1"/>
        <v>0</v>
      </c>
      <c r="G31" s="877"/>
      <c r="H31" s="998"/>
      <c r="I31" s="862"/>
      <c r="J31" s="726"/>
      <c r="K31" s="726"/>
      <c r="L31" s="898"/>
      <c r="M31" s="933">
        <f t="shared" si="2"/>
        <v>0</v>
      </c>
      <c r="N31" s="727"/>
      <c r="O31" s="727"/>
      <c r="P31" s="727"/>
      <c r="Q31" s="727"/>
      <c r="R31" s="727"/>
      <c r="S31" s="727"/>
      <c r="T31" s="727"/>
      <c r="U31" s="727"/>
      <c r="V31" s="723"/>
      <c r="W31" s="723"/>
      <c r="X31" s="724">
        <f t="shared" si="3"/>
        <v>0</v>
      </c>
      <c r="Y31" s="1041">
        <f t="shared" si="4"/>
        <v>0</v>
      </c>
      <c r="Z31" s="1096"/>
      <c r="AA31" s="1108">
        <f t="shared" si="5"/>
        <v>0</v>
      </c>
      <c r="AB31" s="740">
        <f t="shared" si="6"/>
        <v>0</v>
      </c>
      <c r="AC31" s="740">
        <f t="shared" si="21"/>
        <v>0</v>
      </c>
      <c r="AD31" s="740">
        <f t="shared" si="22"/>
        <v>0</v>
      </c>
      <c r="AE31" s="1108">
        <f t="shared" si="7"/>
        <v>0</v>
      </c>
      <c r="AF31" s="740">
        <f t="shared" si="8"/>
        <v>0</v>
      </c>
      <c r="AG31" s="740">
        <f t="shared" si="9"/>
        <v>0</v>
      </c>
      <c r="AH31" s="740">
        <f t="shared" si="10"/>
        <v>0</v>
      </c>
      <c r="AI31" s="1108">
        <f t="shared" si="11"/>
        <v>0</v>
      </c>
      <c r="AJ31" s="740">
        <f t="shared" si="12"/>
        <v>0</v>
      </c>
      <c r="AK31" s="740">
        <f t="shared" si="13"/>
        <v>0</v>
      </c>
      <c r="AL31" s="740">
        <f t="shared" si="14"/>
        <v>0</v>
      </c>
      <c r="AM31" s="740">
        <f t="shared" si="15"/>
        <v>0</v>
      </c>
      <c r="AN31" s="1108">
        <f t="shared" si="16"/>
        <v>0</v>
      </c>
      <c r="AO31" s="740">
        <f t="shared" si="17"/>
        <v>0</v>
      </c>
      <c r="AP31" s="740">
        <f t="shared" si="18"/>
        <v>0</v>
      </c>
      <c r="AQ31" s="740">
        <f t="shared" si="19"/>
        <v>0</v>
      </c>
      <c r="AR31" s="740">
        <f t="shared" si="20"/>
        <v>0</v>
      </c>
      <c r="AU31" s="935"/>
    </row>
    <row r="32" spans="1:50">
      <c r="A32" s="1190"/>
      <c r="B32" s="1191"/>
      <c r="C32" s="862"/>
      <c r="D32" s="727"/>
      <c r="E32" s="727"/>
      <c r="F32" s="725">
        <f t="shared" si="1"/>
        <v>0</v>
      </c>
      <c r="G32" s="877"/>
      <c r="H32" s="998"/>
      <c r="I32" s="862"/>
      <c r="J32" s="726"/>
      <c r="K32" s="726"/>
      <c r="L32" s="898"/>
      <c r="M32" s="933">
        <f t="shared" si="2"/>
        <v>0</v>
      </c>
      <c r="N32" s="727"/>
      <c r="O32" s="727"/>
      <c r="P32" s="727"/>
      <c r="Q32" s="727"/>
      <c r="R32" s="727"/>
      <c r="S32" s="727"/>
      <c r="T32" s="727"/>
      <c r="U32" s="727"/>
      <c r="V32" s="723"/>
      <c r="W32" s="723"/>
      <c r="X32" s="724">
        <f t="shared" si="3"/>
        <v>0</v>
      </c>
      <c r="Y32" s="1041">
        <f t="shared" si="4"/>
        <v>0</v>
      </c>
      <c r="Z32" s="1096"/>
      <c r="AA32" s="1108">
        <f t="shared" si="5"/>
        <v>0</v>
      </c>
      <c r="AB32" s="740">
        <f t="shared" si="6"/>
        <v>0</v>
      </c>
      <c r="AC32" s="740">
        <f t="shared" si="21"/>
        <v>0</v>
      </c>
      <c r="AD32" s="740">
        <f t="shared" si="22"/>
        <v>0</v>
      </c>
      <c r="AE32" s="1108">
        <f t="shared" si="7"/>
        <v>0</v>
      </c>
      <c r="AF32" s="740">
        <f t="shared" si="8"/>
        <v>0</v>
      </c>
      <c r="AG32" s="740">
        <f t="shared" si="9"/>
        <v>0</v>
      </c>
      <c r="AH32" s="740">
        <f t="shared" si="10"/>
        <v>0</v>
      </c>
      <c r="AI32" s="1108">
        <f t="shared" si="11"/>
        <v>0</v>
      </c>
      <c r="AJ32" s="740">
        <f t="shared" si="12"/>
        <v>0</v>
      </c>
      <c r="AK32" s="740">
        <f t="shared" si="13"/>
        <v>0</v>
      </c>
      <c r="AL32" s="740">
        <f t="shared" si="14"/>
        <v>0</v>
      </c>
      <c r="AM32" s="740">
        <f t="shared" si="15"/>
        <v>0</v>
      </c>
      <c r="AN32" s="1108">
        <f t="shared" si="16"/>
        <v>0</v>
      </c>
      <c r="AO32" s="740">
        <f t="shared" si="17"/>
        <v>0</v>
      </c>
      <c r="AP32" s="740">
        <f t="shared" si="18"/>
        <v>0</v>
      </c>
      <c r="AQ32" s="740">
        <f t="shared" si="19"/>
        <v>0</v>
      </c>
      <c r="AR32" s="740">
        <f t="shared" si="20"/>
        <v>0</v>
      </c>
      <c r="AU32" s="931" t="s">
        <v>467</v>
      </c>
    </row>
    <row r="33" spans="1:47">
      <c r="A33" s="1190"/>
      <c r="B33" s="1191"/>
      <c r="C33" s="862"/>
      <c r="D33" s="727"/>
      <c r="E33" s="727"/>
      <c r="F33" s="725">
        <f t="shared" si="1"/>
        <v>0</v>
      </c>
      <c r="G33" s="877"/>
      <c r="H33" s="998"/>
      <c r="I33" s="862"/>
      <c r="J33" s="726"/>
      <c r="K33" s="726"/>
      <c r="L33" s="898"/>
      <c r="M33" s="933">
        <f t="shared" si="2"/>
        <v>0</v>
      </c>
      <c r="N33" s="727"/>
      <c r="O33" s="727"/>
      <c r="P33" s="727"/>
      <c r="Q33" s="727"/>
      <c r="R33" s="727"/>
      <c r="S33" s="727"/>
      <c r="T33" s="727"/>
      <c r="U33" s="727"/>
      <c r="V33" s="723"/>
      <c r="W33" s="723"/>
      <c r="X33" s="724">
        <f t="shared" si="3"/>
        <v>0</v>
      </c>
      <c r="Y33" s="1041">
        <f t="shared" si="4"/>
        <v>0</v>
      </c>
      <c r="Z33" s="1096"/>
      <c r="AA33" s="1108">
        <f t="shared" si="5"/>
        <v>0</v>
      </c>
      <c r="AB33" s="740">
        <f t="shared" si="6"/>
        <v>0</v>
      </c>
      <c r="AC33" s="740">
        <f t="shared" si="21"/>
        <v>0</v>
      </c>
      <c r="AD33" s="740">
        <f t="shared" si="22"/>
        <v>0</v>
      </c>
      <c r="AE33" s="1108">
        <f t="shared" si="7"/>
        <v>0</v>
      </c>
      <c r="AF33" s="740">
        <f t="shared" si="8"/>
        <v>0</v>
      </c>
      <c r="AG33" s="740">
        <f t="shared" si="9"/>
        <v>0</v>
      </c>
      <c r="AH33" s="740">
        <f t="shared" si="10"/>
        <v>0</v>
      </c>
      <c r="AI33" s="1108">
        <f t="shared" si="11"/>
        <v>0</v>
      </c>
      <c r="AJ33" s="740">
        <f t="shared" si="12"/>
        <v>0</v>
      </c>
      <c r="AK33" s="740">
        <f t="shared" si="13"/>
        <v>0</v>
      </c>
      <c r="AL33" s="740">
        <f t="shared" si="14"/>
        <v>0</v>
      </c>
      <c r="AM33" s="740">
        <f t="shared" si="15"/>
        <v>0</v>
      </c>
      <c r="AN33" s="1108">
        <f t="shared" si="16"/>
        <v>0</v>
      </c>
      <c r="AO33" s="740">
        <f t="shared" si="17"/>
        <v>0</v>
      </c>
      <c r="AP33" s="740">
        <f t="shared" si="18"/>
        <v>0</v>
      </c>
      <c r="AQ33" s="740">
        <f t="shared" si="19"/>
        <v>0</v>
      </c>
      <c r="AR33" s="740">
        <f t="shared" si="20"/>
        <v>0</v>
      </c>
      <c r="AU33" s="932" t="s">
        <v>448</v>
      </c>
    </row>
    <row r="34" spans="1:47">
      <c r="A34" s="1190"/>
      <c r="B34" s="1191"/>
      <c r="C34" s="862"/>
      <c r="D34" s="727"/>
      <c r="E34" s="727"/>
      <c r="F34" s="725">
        <f t="shared" si="1"/>
        <v>0</v>
      </c>
      <c r="G34" s="877"/>
      <c r="H34" s="998"/>
      <c r="I34" s="862"/>
      <c r="J34" s="726"/>
      <c r="K34" s="726"/>
      <c r="L34" s="898"/>
      <c r="M34" s="933">
        <f t="shared" si="2"/>
        <v>0</v>
      </c>
      <c r="N34" s="727"/>
      <c r="O34" s="727"/>
      <c r="P34" s="727"/>
      <c r="Q34" s="727"/>
      <c r="R34" s="727"/>
      <c r="S34" s="727"/>
      <c r="T34" s="727"/>
      <c r="U34" s="727"/>
      <c r="V34" s="723"/>
      <c r="W34" s="723"/>
      <c r="X34" s="724">
        <f t="shared" si="3"/>
        <v>0</v>
      </c>
      <c r="Y34" s="1041">
        <f t="shared" si="4"/>
        <v>0</v>
      </c>
      <c r="Z34" s="1096"/>
      <c r="AA34" s="1108">
        <f t="shared" si="5"/>
        <v>0</v>
      </c>
      <c r="AB34" s="740">
        <f t="shared" si="6"/>
        <v>0</v>
      </c>
      <c r="AC34" s="740">
        <f t="shared" si="21"/>
        <v>0</v>
      </c>
      <c r="AD34" s="740">
        <f t="shared" si="22"/>
        <v>0</v>
      </c>
      <c r="AE34" s="1108">
        <f t="shared" si="7"/>
        <v>0</v>
      </c>
      <c r="AF34" s="740">
        <f t="shared" si="8"/>
        <v>0</v>
      </c>
      <c r="AG34" s="740">
        <f t="shared" si="9"/>
        <v>0</v>
      </c>
      <c r="AH34" s="740">
        <f t="shared" si="10"/>
        <v>0</v>
      </c>
      <c r="AI34" s="1108">
        <f t="shared" si="11"/>
        <v>0</v>
      </c>
      <c r="AJ34" s="740">
        <f t="shared" si="12"/>
        <v>0</v>
      </c>
      <c r="AK34" s="740">
        <f t="shared" si="13"/>
        <v>0</v>
      </c>
      <c r="AL34" s="740">
        <f t="shared" si="14"/>
        <v>0</v>
      </c>
      <c r="AM34" s="740">
        <f t="shared" si="15"/>
        <v>0</v>
      </c>
      <c r="AN34" s="1108">
        <f t="shared" si="16"/>
        <v>0</v>
      </c>
      <c r="AO34" s="740">
        <f t="shared" si="17"/>
        <v>0</v>
      </c>
      <c r="AP34" s="740">
        <f t="shared" si="18"/>
        <v>0</v>
      </c>
      <c r="AQ34" s="740">
        <f t="shared" si="19"/>
        <v>0</v>
      </c>
      <c r="AR34" s="740">
        <f t="shared" si="20"/>
        <v>0</v>
      </c>
      <c r="AU34" s="932" t="s">
        <v>468</v>
      </c>
    </row>
    <row r="35" spans="1:47">
      <c r="A35" s="1190"/>
      <c r="B35" s="1191"/>
      <c r="C35" s="862"/>
      <c r="D35" s="727"/>
      <c r="E35" s="727"/>
      <c r="F35" s="725">
        <f t="shared" si="1"/>
        <v>0</v>
      </c>
      <c r="G35" s="877"/>
      <c r="H35" s="998"/>
      <c r="I35" s="862"/>
      <c r="J35" s="726"/>
      <c r="K35" s="726"/>
      <c r="L35" s="898"/>
      <c r="M35" s="933">
        <f t="shared" si="2"/>
        <v>0</v>
      </c>
      <c r="N35" s="727"/>
      <c r="O35" s="727"/>
      <c r="P35" s="727"/>
      <c r="Q35" s="727"/>
      <c r="R35" s="727"/>
      <c r="S35" s="727"/>
      <c r="T35" s="727"/>
      <c r="U35" s="727"/>
      <c r="V35" s="723"/>
      <c r="W35" s="723"/>
      <c r="X35" s="724">
        <f t="shared" si="3"/>
        <v>0</v>
      </c>
      <c r="Y35" s="1041">
        <f t="shared" si="4"/>
        <v>0</v>
      </c>
      <c r="Z35" s="1096"/>
      <c r="AA35" s="1108">
        <f t="shared" si="5"/>
        <v>0</v>
      </c>
      <c r="AB35" s="740">
        <f t="shared" si="6"/>
        <v>0</v>
      </c>
      <c r="AC35" s="740">
        <f t="shared" si="21"/>
        <v>0</v>
      </c>
      <c r="AD35" s="740">
        <f t="shared" si="22"/>
        <v>0</v>
      </c>
      <c r="AE35" s="1108">
        <f t="shared" si="7"/>
        <v>0</v>
      </c>
      <c r="AF35" s="740">
        <f t="shared" si="8"/>
        <v>0</v>
      </c>
      <c r="AG35" s="740">
        <f t="shared" si="9"/>
        <v>0</v>
      </c>
      <c r="AH35" s="740">
        <f t="shared" si="10"/>
        <v>0</v>
      </c>
      <c r="AI35" s="1108">
        <f t="shared" si="11"/>
        <v>0</v>
      </c>
      <c r="AJ35" s="740">
        <f t="shared" si="12"/>
        <v>0</v>
      </c>
      <c r="AK35" s="740">
        <f t="shared" si="13"/>
        <v>0</v>
      </c>
      <c r="AL35" s="740">
        <f t="shared" si="14"/>
        <v>0</v>
      </c>
      <c r="AM35" s="740">
        <f t="shared" si="15"/>
        <v>0</v>
      </c>
      <c r="AN35" s="1108">
        <f t="shared" si="16"/>
        <v>0</v>
      </c>
      <c r="AO35" s="740">
        <f t="shared" si="17"/>
        <v>0</v>
      </c>
      <c r="AP35" s="740">
        <f t="shared" si="18"/>
        <v>0</v>
      </c>
      <c r="AQ35" s="740">
        <f t="shared" si="19"/>
        <v>0</v>
      </c>
      <c r="AR35" s="740">
        <f t="shared" si="20"/>
        <v>0</v>
      </c>
      <c r="AU35" s="935"/>
    </row>
    <row r="36" spans="1:47">
      <c r="A36" s="1190"/>
      <c r="B36" s="1191"/>
      <c r="C36" s="862"/>
      <c r="D36" s="727"/>
      <c r="E36" s="727"/>
      <c r="F36" s="725">
        <f t="shared" si="1"/>
        <v>0</v>
      </c>
      <c r="G36" s="877"/>
      <c r="H36" s="998"/>
      <c r="I36" s="862"/>
      <c r="J36" s="726"/>
      <c r="K36" s="726"/>
      <c r="L36" s="898"/>
      <c r="M36" s="933">
        <f t="shared" si="2"/>
        <v>0</v>
      </c>
      <c r="N36" s="727"/>
      <c r="O36" s="727"/>
      <c r="P36" s="727"/>
      <c r="Q36" s="727"/>
      <c r="R36" s="727"/>
      <c r="S36" s="727"/>
      <c r="T36" s="727"/>
      <c r="U36" s="727"/>
      <c r="V36" s="723"/>
      <c r="W36" s="723"/>
      <c r="X36" s="724">
        <f t="shared" si="3"/>
        <v>0</v>
      </c>
      <c r="Y36" s="1041">
        <f t="shared" si="4"/>
        <v>0</v>
      </c>
      <c r="Z36" s="1096"/>
      <c r="AA36" s="1108">
        <f t="shared" si="5"/>
        <v>0</v>
      </c>
      <c r="AB36" s="740">
        <f t="shared" si="6"/>
        <v>0</v>
      </c>
      <c r="AC36" s="740">
        <f t="shared" si="21"/>
        <v>0</v>
      </c>
      <c r="AD36" s="740">
        <f t="shared" si="22"/>
        <v>0</v>
      </c>
      <c r="AE36" s="1108">
        <f t="shared" si="7"/>
        <v>0</v>
      </c>
      <c r="AF36" s="740">
        <f t="shared" si="8"/>
        <v>0</v>
      </c>
      <c r="AG36" s="740">
        <f t="shared" si="9"/>
        <v>0</v>
      </c>
      <c r="AH36" s="740">
        <f t="shared" si="10"/>
        <v>0</v>
      </c>
      <c r="AI36" s="1108">
        <f t="shared" si="11"/>
        <v>0</v>
      </c>
      <c r="AJ36" s="740">
        <f t="shared" si="12"/>
        <v>0</v>
      </c>
      <c r="AK36" s="740">
        <f t="shared" si="13"/>
        <v>0</v>
      </c>
      <c r="AL36" s="740">
        <f t="shared" si="14"/>
        <v>0</v>
      </c>
      <c r="AM36" s="740">
        <f t="shared" si="15"/>
        <v>0</v>
      </c>
      <c r="AN36" s="1108">
        <f t="shared" si="16"/>
        <v>0</v>
      </c>
      <c r="AO36" s="740">
        <f t="shared" si="17"/>
        <v>0</v>
      </c>
      <c r="AP36" s="740">
        <f t="shared" si="18"/>
        <v>0</v>
      </c>
      <c r="AQ36" s="740">
        <f t="shared" si="19"/>
        <v>0</v>
      </c>
      <c r="AR36" s="740">
        <f t="shared" si="20"/>
        <v>0</v>
      </c>
    </row>
    <row r="37" spans="1:47">
      <c r="A37" s="1190"/>
      <c r="B37" s="1191"/>
      <c r="C37" s="862"/>
      <c r="D37" s="727"/>
      <c r="E37" s="727"/>
      <c r="F37" s="725">
        <f t="shared" si="1"/>
        <v>0</v>
      </c>
      <c r="G37" s="877"/>
      <c r="H37" s="998"/>
      <c r="I37" s="862"/>
      <c r="J37" s="726"/>
      <c r="K37" s="726"/>
      <c r="L37" s="898"/>
      <c r="M37" s="933">
        <f t="shared" si="2"/>
        <v>0</v>
      </c>
      <c r="N37" s="727"/>
      <c r="O37" s="727"/>
      <c r="P37" s="727"/>
      <c r="Q37" s="727"/>
      <c r="R37" s="727"/>
      <c r="S37" s="727"/>
      <c r="T37" s="727"/>
      <c r="U37" s="727"/>
      <c r="V37" s="723"/>
      <c r="W37" s="723"/>
      <c r="X37" s="724">
        <f t="shared" si="3"/>
        <v>0</v>
      </c>
      <c r="Y37" s="1041">
        <f t="shared" si="4"/>
        <v>0</v>
      </c>
      <c r="Z37" s="1096"/>
      <c r="AA37" s="1108">
        <f t="shared" si="5"/>
        <v>0</v>
      </c>
      <c r="AB37" s="740">
        <f t="shared" si="6"/>
        <v>0</v>
      </c>
      <c r="AC37" s="740">
        <f t="shared" si="21"/>
        <v>0</v>
      </c>
      <c r="AD37" s="740">
        <f t="shared" si="22"/>
        <v>0</v>
      </c>
      <c r="AE37" s="1108">
        <f t="shared" si="7"/>
        <v>0</v>
      </c>
      <c r="AF37" s="740">
        <f t="shared" si="8"/>
        <v>0</v>
      </c>
      <c r="AG37" s="740">
        <f t="shared" si="9"/>
        <v>0</v>
      </c>
      <c r="AH37" s="740">
        <f t="shared" si="10"/>
        <v>0</v>
      </c>
      <c r="AI37" s="1108">
        <f t="shared" si="11"/>
        <v>0</v>
      </c>
      <c r="AJ37" s="740">
        <f t="shared" si="12"/>
        <v>0</v>
      </c>
      <c r="AK37" s="740">
        <f t="shared" si="13"/>
        <v>0</v>
      </c>
      <c r="AL37" s="740">
        <f t="shared" si="14"/>
        <v>0</v>
      </c>
      <c r="AM37" s="740">
        <f t="shared" si="15"/>
        <v>0</v>
      </c>
      <c r="AN37" s="1108">
        <f t="shared" si="16"/>
        <v>0</v>
      </c>
      <c r="AO37" s="740">
        <f t="shared" si="17"/>
        <v>0</v>
      </c>
      <c r="AP37" s="740">
        <f t="shared" si="18"/>
        <v>0</v>
      </c>
      <c r="AQ37" s="740">
        <f t="shared" si="19"/>
        <v>0</v>
      </c>
      <c r="AR37" s="740">
        <f t="shared" si="20"/>
        <v>0</v>
      </c>
    </row>
    <row r="38" spans="1:47">
      <c r="A38" s="1190"/>
      <c r="B38" s="1191"/>
      <c r="C38" s="862"/>
      <c r="D38" s="727"/>
      <c r="E38" s="727"/>
      <c r="F38" s="725">
        <f t="shared" si="1"/>
        <v>0</v>
      </c>
      <c r="G38" s="877"/>
      <c r="H38" s="998"/>
      <c r="I38" s="862"/>
      <c r="J38" s="726"/>
      <c r="K38" s="726"/>
      <c r="L38" s="898"/>
      <c r="M38" s="933">
        <f t="shared" si="2"/>
        <v>0</v>
      </c>
      <c r="N38" s="727"/>
      <c r="O38" s="727"/>
      <c r="P38" s="727"/>
      <c r="Q38" s="727"/>
      <c r="R38" s="727"/>
      <c r="S38" s="727"/>
      <c r="T38" s="727"/>
      <c r="U38" s="727"/>
      <c r="V38" s="723"/>
      <c r="W38" s="723"/>
      <c r="X38" s="724">
        <f t="shared" si="3"/>
        <v>0</v>
      </c>
      <c r="Y38" s="1041">
        <f t="shared" si="4"/>
        <v>0</v>
      </c>
      <c r="Z38" s="1096"/>
      <c r="AA38" s="1108">
        <f t="shared" si="5"/>
        <v>0</v>
      </c>
      <c r="AB38" s="740">
        <f t="shared" si="6"/>
        <v>0</v>
      </c>
      <c r="AC38" s="740">
        <f t="shared" si="21"/>
        <v>0</v>
      </c>
      <c r="AD38" s="740">
        <f t="shared" si="22"/>
        <v>0</v>
      </c>
      <c r="AE38" s="1108">
        <f t="shared" si="7"/>
        <v>0</v>
      </c>
      <c r="AF38" s="740">
        <f t="shared" si="8"/>
        <v>0</v>
      </c>
      <c r="AG38" s="740">
        <f t="shared" si="9"/>
        <v>0</v>
      </c>
      <c r="AH38" s="740">
        <f t="shared" si="10"/>
        <v>0</v>
      </c>
      <c r="AI38" s="1108">
        <f t="shared" si="11"/>
        <v>0</v>
      </c>
      <c r="AJ38" s="740">
        <f t="shared" si="12"/>
        <v>0</v>
      </c>
      <c r="AK38" s="740">
        <f t="shared" si="13"/>
        <v>0</v>
      </c>
      <c r="AL38" s="740">
        <f t="shared" si="14"/>
        <v>0</v>
      </c>
      <c r="AM38" s="740">
        <f t="shared" si="15"/>
        <v>0</v>
      </c>
      <c r="AN38" s="1108">
        <f t="shared" si="16"/>
        <v>0</v>
      </c>
      <c r="AO38" s="740">
        <f t="shared" si="17"/>
        <v>0</v>
      </c>
      <c r="AP38" s="740">
        <f t="shared" si="18"/>
        <v>0</v>
      </c>
      <c r="AQ38" s="740">
        <f t="shared" si="19"/>
        <v>0</v>
      </c>
      <c r="AR38" s="740">
        <f t="shared" si="20"/>
        <v>0</v>
      </c>
    </row>
    <row r="39" spans="1:47">
      <c r="A39" s="1190"/>
      <c r="B39" s="1191"/>
      <c r="C39" s="862"/>
      <c r="D39" s="727"/>
      <c r="E39" s="727"/>
      <c r="F39" s="725">
        <f t="shared" si="1"/>
        <v>0</v>
      </c>
      <c r="G39" s="877"/>
      <c r="H39" s="998"/>
      <c r="I39" s="862"/>
      <c r="J39" s="726"/>
      <c r="K39" s="726"/>
      <c r="L39" s="898"/>
      <c r="M39" s="933">
        <f t="shared" si="2"/>
        <v>0</v>
      </c>
      <c r="N39" s="727"/>
      <c r="O39" s="727"/>
      <c r="P39" s="727"/>
      <c r="Q39" s="727"/>
      <c r="R39" s="727"/>
      <c r="S39" s="727"/>
      <c r="T39" s="727"/>
      <c r="U39" s="727"/>
      <c r="V39" s="723"/>
      <c r="W39" s="723"/>
      <c r="X39" s="724">
        <f t="shared" si="3"/>
        <v>0</v>
      </c>
      <c r="Y39" s="1041">
        <f t="shared" si="4"/>
        <v>0</v>
      </c>
      <c r="Z39" s="1096"/>
      <c r="AA39" s="1108">
        <f t="shared" si="5"/>
        <v>0</v>
      </c>
      <c r="AB39" s="740">
        <f t="shared" si="6"/>
        <v>0</v>
      </c>
      <c r="AC39" s="740">
        <f t="shared" si="21"/>
        <v>0</v>
      </c>
      <c r="AD39" s="740">
        <f t="shared" si="22"/>
        <v>0</v>
      </c>
      <c r="AE39" s="1108">
        <f t="shared" si="7"/>
        <v>0</v>
      </c>
      <c r="AF39" s="740">
        <f t="shared" si="8"/>
        <v>0</v>
      </c>
      <c r="AG39" s="740">
        <f t="shared" si="9"/>
        <v>0</v>
      </c>
      <c r="AH39" s="740">
        <f t="shared" si="10"/>
        <v>0</v>
      </c>
      <c r="AI39" s="1108">
        <f t="shared" si="11"/>
        <v>0</v>
      </c>
      <c r="AJ39" s="740">
        <f t="shared" si="12"/>
        <v>0</v>
      </c>
      <c r="AK39" s="740">
        <f t="shared" si="13"/>
        <v>0</v>
      </c>
      <c r="AL39" s="740">
        <f t="shared" si="14"/>
        <v>0</v>
      </c>
      <c r="AM39" s="740">
        <f t="shared" si="15"/>
        <v>0</v>
      </c>
      <c r="AN39" s="1108">
        <f t="shared" si="16"/>
        <v>0</v>
      </c>
      <c r="AO39" s="740">
        <f t="shared" si="17"/>
        <v>0</v>
      </c>
      <c r="AP39" s="740">
        <f t="shared" si="18"/>
        <v>0</v>
      </c>
      <c r="AQ39" s="740">
        <f t="shared" si="19"/>
        <v>0</v>
      </c>
      <c r="AR39" s="740">
        <f t="shared" si="20"/>
        <v>0</v>
      </c>
    </row>
    <row r="40" spans="1:47">
      <c r="A40" s="1190"/>
      <c r="B40" s="1191"/>
      <c r="C40" s="862"/>
      <c r="D40" s="727"/>
      <c r="E40" s="727"/>
      <c r="F40" s="725">
        <f t="shared" si="1"/>
        <v>0</v>
      </c>
      <c r="G40" s="877"/>
      <c r="H40" s="998"/>
      <c r="I40" s="862"/>
      <c r="J40" s="726"/>
      <c r="K40" s="726"/>
      <c r="L40" s="898"/>
      <c r="M40" s="933">
        <f t="shared" si="2"/>
        <v>0</v>
      </c>
      <c r="N40" s="727"/>
      <c r="O40" s="727"/>
      <c r="P40" s="727"/>
      <c r="Q40" s="727"/>
      <c r="R40" s="727"/>
      <c r="S40" s="727"/>
      <c r="T40" s="727"/>
      <c r="U40" s="727"/>
      <c r="V40" s="723"/>
      <c r="W40" s="723"/>
      <c r="X40" s="724">
        <f t="shared" si="3"/>
        <v>0</v>
      </c>
      <c r="Y40" s="1041">
        <f t="shared" si="4"/>
        <v>0</v>
      </c>
      <c r="Z40" s="1096"/>
      <c r="AA40" s="1108">
        <f t="shared" si="5"/>
        <v>0</v>
      </c>
      <c r="AB40" s="740">
        <f t="shared" si="6"/>
        <v>0</v>
      </c>
      <c r="AC40" s="740">
        <f t="shared" si="21"/>
        <v>0</v>
      </c>
      <c r="AD40" s="740">
        <f t="shared" si="22"/>
        <v>0</v>
      </c>
      <c r="AE40" s="1108">
        <f t="shared" si="7"/>
        <v>0</v>
      </c>
      <c r="AF40" s="740">
        <f t="shared" si="8"/>
        <v>0</v>
      </c>
      <c r="AG40" s="740">
        <f t="shared" si="9"/>
        <v>0</v>
      </c>
      <c r="AH40" s="740">
        <f t="shared" si="10"/>
        <v>0</v>
      </c>
      <c r="AI40" s="1108">
        <f t="shared" si="11"/>
        <v>0</v>
      </c>
      <c r="AJ40" s="740">
        <f t="shared" si="12"/>
        <v>0</v>
      </c>
      <c r="AK40" s="740">
        <f t="shared" si="13"/>
        <v>0</v>
      </c>
      <c r="AL40" s="740">
        <f t="shared" si="14"/>
        <v>0</v>
      </c>
      <c r="AM40" s="740">
        <f t="shared" si="15"/>
        <v>0</v>
      </c>
      <c r="AN40" s="1108">
        <f t="shared" si="16"/>
        <v>0</v>
      </c>
      <c r="AO40" s="740">
        <f t="shared" si="17"/>
        <v>0</v>
      </c>
      <c r="AP40" s="740">
        <f t="shared" si="18"/>
        <v>0</v>
      </c>
      <c r="AQ40" s="740">
        <f t="shared" si="19"/>
        <v>0</v>
      </c>
      <c r="AR40" s="740">
        <f t="shared" si="20"/>
        <v>0</v>
      </c>
    </row>
    <row r="41" spans="1:47">
      <c r="A41" s="1190"/>
      <c r="B41" s="1191"/>
      <c r="C41" s="862"/>
      <c r="D41" s="727"/>
      <c r="E41" s="727"/>
      <c r="F41" s="725">
        <f t="shared" si="1"/>
        <v>0</v>
      </c>
      <c r="G41" s="877"/>
      <c r="H41" s="998"/>
      <c r="I41" s="862"/>
      <c r="J41" s="726"/>
      <c r="K41" s="726"/>
      <c r="L41" s="898"/>
      <c r="M41" s="933">
        <f t="shared" si="2"/>
        <v>0</v>
      </c>
      <c r="N41" s="727"/>
      <c r="O41" s="727"/>
      <c r="P41" s="727"/>
      <c r="Q41" s="727"/>
      <c r="R41" s="727"/>
      <c r="S41" s="727"/>
      <c r="T41" s="727"/>
      <c r="U41" s="727"/>
      <c r="V41" s="723"/>
      <c r="W41" s="723"/>
      <c r="X41" s="724">
        <f t="shared" si="3"/>
        <v>0</v>
      </c>
      <c r="Y41" s="1041">
        <f t="shared" si="4"/>
        <v>0</v>
      </c>
      <c r="Z41" s="1096"/>
      <c r="AA41" s="1108">
        <f t="shared" si="5"/>
        <v>0</v>
      </c>
      <c r="AB41" s="740">
        <f t="shared" si="6"/>
        <v>0</v>
      </c>
      <c r="AC41" s="740">
        <f t="shared" si="21"/>
        <v>0</v>
      </c>
      <c r="AD41" s="740">
        <f t="shared" si="22"/>
        <v>0</v>
      </c>
      <c r="AE41" s="1108">
        <f t="shared" si="7"/>
        <v>0</v>
      </c>
      <c r="AF41" s="740">
        <f t="shared" si="8"/>
        <v>0</v>
      </c>
      <c r="AG41" s="740">
        <f t="shared" si="9"/>
        <v>0</v>
      </c>
      <c r="AH41" s="740">
        <f t="shared" si="10"/>
        <v>0</v>
      </c>
      <c r="AI41" s="1108">
        <f t="shared" si="11"/>
        <v>0</v>
      </c>
      <c r="AJ41" s="740">
        <f t="shared" si="12"/>
        <v>0</v>
      </c>
      <c r="AK41" s="740">
        <f t="shared" si="13"/>
        <v>0</v>
      </c>
      <c r="AL41" s="740">
        <f t="shared" si="14"/>
        <v>0</v>
      </c>
      <c r="AM41" s="740">
        <f t="shared" si="15"/>
        <v>0</v>
      </c>
      <c r="AN41" s="1108">
        <f t="shared" si="16"/>
        <v>0</v>
      </c>
      <c r="AO41" s="740">
        <f t="shared" si="17"/>
        <v>0</v>
      </c>
      <c r="AP41" s="740">
        <f t="shared" si="18"/>
        <v>0</v>
      </c>
      <c r="AQ41" s="740">
        <f t="shared" si="19"/>
        <v>0</v>
      </c>
      <c r="AR41" s="740">
        <f t="shared" si="20"/>
        <v>0</v>
      </c>
    </row>
    <row r="42" spans="1:47">
      <c r="A42" s="1190"/>
      <c r="B42" s="1191"/>
      <c r="C42" s="862"/>
      <c r="D42" s="727"/>
      <c r="E42" s="727"/>
      <c r="F42" s="725">
        <f t="shared" si="1"/>
        <v>0</v>
      </c>
      <c r="G42" s="877"/>
      <c r="H42" s="998"/>
      <c r="I42" s="862"/>
      <c r="J42" s="726"/>
      <c r="K42" s="726"/>
      <c r="L42" s="898"/>
      <c r="M42" s="933">
        <f t="shared" si="2"/>
        <v>0</v>
      </c>
      <c r="N42" s="727"/>
      <c r="O42" s="727"/>
      <c r="P42" s="727"/>
      <c r="Q42" s="727"/>
      <c r="R42" s="727"/>
      <c r="S42" s="727"/>
      <c r="T42" s="727"/>
      <c r="U42" s="727"/>
      <c r="V42" s="723"/>
      <c r="W42" s="723"/>
      <c r="X42" s="724">
        <f t="shared" si="3"/>
        <v>0</v>
      </c>
      <c r="Y42" s="1041">
        <f t="shared" si="4"/>
        <v>0</v>
      </c>
      <c r="Z42" s="1096"/>
      <c r="AA42" s="1108">
        <f t="shared" si="5"/>
        <v>0</v>
      </c>
      <c r="AB42" s="740">
        <f t="shared" si="6"/>
        <v>0</v>
      </c>
      <c r="AC42" s="740">
        <f t="shared" si="21"/>
        <v>0</v>
      </c>
      <c r="AD42" s="740">
        <f t="shared" si="22"/>
        <v>0</v>
      </c>
      <c r="AE42" s="1108">
        <f t="shared" si="7"/>
        <v>0</v>
      </c>
      <c r="AF42" s="740">
        <f t="shared" si="8"/>
        <v>0</v>
      </c>
      <c r="AG42" s="740">
        <f t="shared" si="9"/>
        <v>0</v>
      </c>
      <c r="AH42" s="740">
        <f t="shared" si="10"/>
        <v>0</v>
      </c>
      <c r="AI42" s="1108">
        <f t="shared" si="11"/>
        <v>0</v>
      </c>
      <c r="AJ42" s="740">
        <f t="shared" si="12"/>
        <v>0</v>
      </c>
      <c r="AK42" s="740">
        <f t="shared" si="13"/>
        <v>0</v>
      </c>
      <c r="AL42" s="740">
        <f t="shared" si="14"/>
        <v>0</v>
      </c>
      <c r="AM42" s="740">
        <f t="shared" si="15"/>
        <v>0</v>
      </c>
      <c r="AN42" s="1108">
        <f t="shared" si="16"/>
        <v>0</v>
      </c>
      <c r="AO42" s="740">
        <f t="shared" si="17"/>
        <v>0</v>
      </c>
      <c r="AP42" s="740">
        <f t="shared" si="18"/>
        <v>0</v>
      </c>
      <c r="AQ42" s="740">
        <f t="shared" si="19"/>
        <v>0</v>
      </c>
      <c r="AR42" s="740">
        <f t="shared" si="20"/>
        <v>0</v>
      </c>
    </row>
    <row r="43" spans="1:47">
      <c r="A43" s="1190"/>
      <c r="B43" s="1191"/>
      <c r="C43" s="862"/>
      <c r="D43" s="727"/>
      <c r="E43" s="727"/>
      <c r="F43" s="725">
        <f t="shared" si="1"/>
        <v>0</v>
      </c>
      <c r="G43" s="877"/>
      <c r="H43" s="998"/>
      <c r="I43" s="862"/>
      <c r="J43" s="726"/>
      <c r="K43" s="726"/>
      <c r="L43" s="898"/>
      <c r="M43" s="933">
        <f t="shared" si="2"/>
        <v>0</v>
      </c>
      <c r="N43" s="727"/>
      <c r="O43" s="727"/>
      <c r="P43" s="727"/>
      <c r="Q43" s="727"/>
      <c r="R43" s="727"/>
      <c r="S43" s="727"/>
      <c r="T43" s="727"/>
      <c r="U43" s="727"/>
      <c r="V43" s="723"/>
      <c r="W43" s="723"/>
      <c r="X43" s="724">
        <f t="shared" si="3"/>
        <v>0</v>
      </c>
      <c r="Y43" s="1041">
        <f t="shared" si="4"/>
        <v>0</v>
      </c>
      <c r="Z43" s="1096"/>
      <c r="AA43" s="1108">
        <f t="shared" si="5"/>
        <v>0</v>
      </c>
      <c r="AB43" s="740">
        <f t="shared" si="6"/>
        <v>0</v>
      </c>
      <c r="AC43" s="740">
        <f t="shared" si="21"/>
        <v>0</v>
      </c>
      <c r="AD43" s="740">
        <f t="shared" si="22"/>
        <v>0</v>
      </c>
      <c r="AE43" s="1108">
        <f t="shared" si="7"/>
        <v>0</v>
      </c>
      <c r="AF43" s="740">
        <f t="shared" si="8"/>
        <v>0</v>
      </c>
      <c r="AG43" s="740">
        <f t="shared" si="9"/>
        <v>0</v>
      </c>
      <c r="AH43" s="740">
        <f t="shared" si="10"/>
        <v>0</v>
      </c>
      <c r="AI43" s="1108">
        <f t="shared" si="11"/>
        <v>0</v>
      </c>
      <c r="AJ43" s="740">
        <f t="shared" si="12"/>
        <v>0</v>
      </c>
      <c r="AK43" s="740">
        <f t="shared" si="13"/>
        <v>0</v>
      </c>
      <c r="AL43" s="740">
        <f t="shared" si="14"/>
        <v>0</v>
      </c>
      <c r="AM43" s="740">
        <f t="shared" si="15"/>
        <v>0</v>
      </c>
      <c r="AN43" s="1108">
        <f t="shared" si="16"/>
        <v>0</v>
      </c>
      <c r="AO43" s="740">
        <f t="shared" si="17"/>
        <v>0</v>
      </c>
      <c r="AP43" s="740">
        <f t="shared" si="18"/>
        <v>0</v>
      </c>
      <c r="AQ43" s="740">
        <f t="shared" si="19"/>
        <v>0</v>
      </c>
      <c r="AR43" s="740">
        <f t="shared" si="20"/>
        <v>0</v>
      </c>
    </row>
    <row r="44" spans="1:47">
      <c r="A44" s="1190"/>
      <c r="B44" s="1191"/>
      <c r="C44" s="862"/>
      <c r="D44" s="727"/>
      <c r="E44" s="727"/>
      <c r="F44" s="725">
        <f t="shared" si="1"/>
        <v>0</v>
      </c>
      <c r="G44" s="877"/>
      <c r="H44" s="998"/>
      <c r="I44" s="862"/>
      <c r="J44" s="726"/>
      <c r="K44" s="726"/>
      <c r="L44" s="898"/>
      <c r="M44" s="933">
        <f t="shared" si="2"/>
        <v>0</v>
      </c>
      <c r="N44" s="727"/>
      <c r="O44" s="727"/>
      <c r="P44" s="727"/>
      <c r="Q44" s="727"/>
      <c r="R44" s="727"/>
      <c r="S44" s="727"/>
      <c r="T44" s="727"/>
      <c r="U44" s="727"/>
      <c r="V44" s="723"/>
      <c r="W44" s="723"/>
      <c r="X44" s="724">
        <f t="shared" si="3"/>
        <v>0</v>
      </c>
      <c r="Y44" s="1041">
        <f t="shared" si="4"/>
        <v>0</v>
      </c>
      <c r="Z44" s="1096"/>
      <c r="AA44" s="1108">
        <f t="shared" si="5"/>
        <v>0</v>
      </c>
      <c r="AB44" s="740">
        <f t="shared" si="6"/>
        <v>0</v>
      </c>
      <c r="AC44" s="740">
        <f t="shared" si="21"/>
        <v>0</v>
      </c>
      <c r="AD44" s="740">
        <f t="shared" si="22"/>
        <v>0</v>
      </c>
      <c r="AE44" s="1108">
        <f t="shared" si="7"/>
        <v>0</v>
      </c>
      <c r="AF44" s="740">
        <f t="shared" si="8"/>
        <v>0</v>
      </c>
      <c r="AG44" s="740">
        <f t="shared" si="9"/>
        <v>0</v>
      </c>
      <c r="AH44" s="740">
        <f t="shared" si="10"/>
        <v>0</v>
      </c>
      <c r="AI44" s="1108">
        <f t="shared" si="11"/>
        <v>0</v>
      </c>
      <c r="AJ44" s="740">
        <f t="shared" si="12"/>
        <v>0</v>
      </c>
      <c r="AK44" s="740">
        <f t="shared" si="13"/>
        <v>0</v>
      </c>
      <c r="AL44" s="740">
        <f t="shared" si="14"/>
        <v>0</v>
      </c>
      <c r="AM44" s="740">
        <f t="shared" si="15"/>
        <v>0</v>
      </c>
      <c r="AN44" s="1108">
        <f t="shared" si="16"/>
        <v>0</v>
      </c>
      <c r="AO44" s="740">
        <f t="shared" si="17"/>
        <v>0</v>
      </c>
      <c r="AP44" s="740">
        <f t="shared" si="18"/>
        <v>0</v>
      </c>
      <c r="AQ44" s="740">
        <f t="shared" si="19"/>
        <v>0</v>
      </c>
      <c r="AR44" s="740">
        <f t="shared" si="20"/>
        <v>0</v>
      </c>
    </row>
    <row r="45" spans="1:47">
      <c r="A45" s="1190"/>
      <c r="B45" s="1191"/>
      <c r="C45" s="1192"/>
      <c r="D45" s="727"/>
      <c r="E45" s="727"/>
      <c r="F45" s="725">
        <f t="shared" si="1"/>
        <v>0</v>
      </c>
      <c r="G45" s="877"/>
      <c r="H45" s="998"/>
      <c r="I45" s="862"/>
      <c r="J45" s="726"/>
      <c r="K45" s="726"/>
      <c r="L45" s="898"/>
      <c r="M45" s="933">
        <f t="shared" si="2"/>
        <v>0</v>
      </c>
      <c r="N45" s="727"/>
      <c r="O45" s="727"/>
      <c r="P45" s="727"/>
      <c r="Q45" s="727"/>
      <c r="R45" s="727"/>
      <c r="S45" s="727"/>
      <c r="T45" s="727"/>
      <c r="U45" s="727"/>
      <c r="V45" s="723"/>
      <c r="W45" s="723"/>
      <c r="X45" s="724">
        <f t="shared" si="3"/>
        <v>0</v>
      </c>
      <c r="Y45" s="1041">
        <f t="shared" si="4"/>
        <v>0</v>
      </c>
      <c r="Z45" s="1096"/>
      <c r="AA45" s="1108">
        <f t="shared" si="5"/>
        <v>0</v>
      </c>
      <c r="AB45" s="740">
        <f t="shared" si="6"/>
        <v>0</v>
      </c>
      <c r="AC45" s="740">
        <f t="shared" si="21"/>
        <v>0</v>
      </c>
      <c r="AD45" s="740">
        <f t="shared" si="22"/>
        <v>0</v>
      </c>
      <c r="AE45" s="1108">
        <f t="shared" si="7"/>
        <v>0</v>
      </c>
      <c r="AF45" s="740">
        <f t="shared" si="8"/>
        <v>0</v>
      </c>
      <c r="AG45" s="740">
        <f t="shared" si="9"/>
        <v>0</v>
      </c>
      <c r="AH45" s="740">
        <f t="shared" si="10"/>
        <v>0</v>
      </c>
      <c r="AI45" s="1108">
        <f t="shared" si="11"/>
        <v>0</v>
      </c>
      <c r="AJ45" s="740">
        <f t="shared" si="12"/>
        <v>0</v>
      </c>
      <c r="AK45" s="740">
        <f t="shared" si="13"/>
        <v>0</v>
      </c>
      <c r="AL45" s="740">
        <f t="shared" si="14"/>
        <v>0</v>
      </c>
      <c r="AM45" s="740">
        <f t="shared" si="15"/>
        <v>0</v>
      </c>
      <c r="AN45" s="1108">
        <f t="shared" si="16"/>
        <v>0</v>
      </c>
      <c r="AO45" s="740">
        <f t="shared" si="17"/>
        <v>0</v>
      </c>
      <c r="AP45" s="740">
        <f t="shared" si="18"/>
        <v>0</v>
      </c>
      <c r="AQ45" s="740">
        <f t="shared" si="19"/>
        <v>0</v>
      </c>
      <c r="AR45" s="740">
        <f t="shared" si="20"/>
        <v>0</v>
      </c>
    </row>
    <row r="46" spans="1:47">
      <c r="A46" s="1193"/>
      <c r="B46" s="1194"/>
      <c r="C46" s="1195"/>
      <c r="D46" s="729"/>
      <c r="E46" s="729"/>
      <c r="F46" s="725">
        <f t="shared" si="1"/>
        <v>0</v>
      </c>
      <c r="G46" s="877"/>
      <c r="H46" s="999"/>
      <c r="I46" s="863"/>
      <c r="J46" s="728"/>
      <c r="K46" s="728"/>
      <c r="L46" s="898"/>
      <c r="M46" s="933">
        <f t="shared" si="2"/>
        <v>0</v>
      </c>
      <c r="N46" s="729"/>
      <c r="O46" s="729"/>
      <c r="P46" s="729"/>
      <c r="Q46" s="729"/>
      <c r="R46" s="729"/>
      <c r="S46" s="729"/>
      <c r="T46" s="729"/>
      <c r="U46" s="729"/>
      <c r="V46" s="723"/>
      <c r="W46" s="723"/>
      <c r="X46" s="724">
        <f t="shared" si="3"/>
        <v>0</v>
      </c>
      <c r="Y46" s="1041">
        <f t="shared" si="4"/>
        <v>0</v>
      </c>
      <c r="Z46" s="1096"/>
      <c r="AA46" s="1108">
        <f t="shared" si="5"/>
        <v>0</v>
      </c>
      <c r="AB46" s="740">
        <f t="shared" si="6"/>
        <v>0</v>
      </c>
      <c r="AC46" s="740">
        <f t="shared" si="21"/>
        <v>0</v>
      </c>
      <c r="AD46" s="740">
        <f t="shared" si="22"/>
        <v>0</v>
      </c>
      <c r="AE46" s="1108">
        <f t="shared" si="7"/>
        <v>0</v>
      </c>
      <c r="AF46" s="740">
        <f t="shared" si="8"/>
        <v>0</v>
      </c>
      <c r="AG46" s="740">
        <f t="shared" si="9"/>
        <v>0</v>
      </c>
      <c r="AH46" s="740">
        <f t="shared" si="10"/>
        <v>0</v>
      </c>
      <c r="AI46" s="1108">
        <f t="shared" si="11"/>
        <v>0</v>
      </c>
      <c r="AJ46" s="740">
        <f t="shared" si="12"/>
        <v>0</v>
      </c>
      <c r="AK46" s="740">
        <f t="shared" si="13"/>
        <v>0</v>
      </c>
      <c r="AL46" s="740">
        <f t="shared" si="14"/>
        <v>0</v>
      </c>
      <c r="AM46" s="740">
        <f t="shared" si="15"/>
        <v>0</v>
      </c>
      <c r="AN46" s="1108">
        <f t="shared" si="16"/>
        <v>0</v>
      </c>
      <c r="AO46" s="740">
        <f t="shared" si="17"/>
        <v>0</v>
      </c>
      <c r="AP46" s="740">
        <f t="shared" si="18"/>
        <v>0</v>
      </c>
      <c r="AQ46" s="740">
        <f t="shared" si="19"/>
        <v>0</v>
      </c>
      <c r="AR46" s="740">
        <f t="shared" si="20"/>
        <v>0</v>
      </c>
    </row>
    <row r="47" spans="1:47">
      <c r="A47" s="1193"/>
      <c r="B47" s="1194"/>
      <c r="C47" s="1195"/>
      <c r="D47" s="729"/>
      <c r="E47" s="729"/>
      <c r="F47" s="725">
        <f t="shared" si="1"/>
        <v>0</v>
      </c>
      <c r="G47" s="877"/>
      <c r="H47" s="999"/>
      <c r="I47" s="863"/>
      <c r="J47" s="728"/>
      <c r="K47" s="728"/>
      <c r="L47" s="898"/>
      <c r="M47" s="933">
        <f t="shared" si="2"/>
        <v>0</v>
      </c>
      <c r="N47" s="729"/>
      <c r="O47" s="729"/>
      <c r="P47" s="729"/>
      <c r="Q47" s="729"/>
      <c r="R47" s="729"/>
      <c r="S47" s="729"/>
      <c r="T47" s="729"/>
      <c r="U47" s="729"/>
      <c r="V47" s="723"/>
      <c r="W47" s="723"/>
      <c r="X47" s="724">
        <f t="shared" si="3"/>
        <v>0</v>
      </c>
      <c r="Y47" s="1041">
        <f t="shared" si="4"/>
        <v>0</v>
      </c>
      <c r="Z47" s="1096"/>
      <c r="AA47" s="1108">
        <f t="shared" si="5"/>
        <v>0</v>
      </c>
      <c r="AB47" s="740">
        <f t="shared" si="6"/>
        <v>0</v>
      </c>
      <c r="AC47" s="740">
        <f t="shared" si="21"/>
        <v>0</v>
      </c>
      <c r="AD47" s="740">
        <f t="shared" si="22"/>
        <v>0</v>
      </c>
      <c r="AE47" s="1108">
        <f t="shared" si="7"/>
        <v>0</v>
      </c>
      <c r="AF47" s="740">
        <f t="shared" si="8"/>
        <v>0</v>
      </c>
      <c r="AG47" s="740">
        <f t="shared" si="9"/>
        <v>0</v>
      </c>
      <c r="AH47" s="740">
        <f t="shared" si="10"/>
        <v>0</v>
      </c>
      <c r="AI47" s="1108">
        <f t="shared" si="11"/>
        <v>0</v>
      </c>
      <c r="AJ47" s="740">
        <f t="shared" si="12"/>
        <v>0</v>
      </c>
      <c r="AK47" s="740">
        <f t="shared" si="13"/>
        <v>0</v>
      </c>
      <c r="AL47" s="740">
        <f t="shared" si="14"/>
        <v>0</v>
      </c>
      <c r="AM47" s="740">
        <f t="shared" si="15"/>
        <v>0</v>
      </c>
      <c r="AN47" s="1108">
        <f t="shared" si="16"/>
        <v>0</v>
      </c>
      <c r="AO47" s="740">
        <f t="shared" si="17"/>
        <v>0</v>
      </c>
      <c r="AP47" s="740">
        <f t="shared" si="18"/>
        <v>0</v>
      </c>
      <c r="AQ47" s="740">
        <f t="shared" si="19"/>
        <v>0</v>
      </c>
      <c r="AR47" s="740">
        <f t="shared" si="20"/>
        <v>0</v>
      </c>
    </row>
    <row r="48" spans="1:47" ht="13.5" thickBot="1">
      <c r="A48" s="1193"/>
      <c r="B48" s="1194"/>
      <c r="C48" s="1195"/>
      <c r="D48" s="729"/>
      <c r="E48" s="729"/>
      <c r="F48" s="730">
        <f t="shared" si="1"/>
        <v>0</v>
      </c>
      <c r="G48" s="877"/>
      <c r="H48" s="999"/>
      <c r="I48" s="863"/>
      <c r="J48" s="728"/>
      <c r="K48" s="728"/>
      <c r="L48" s="1169"/>
      <c r="M48" s="933">
        <f t="shared" si="2"/>
        <v>0</v>
      </c>
      <c r="N48" s="729"/>
      <c r="O48" s="729"/>
      <c r="P48" s="729"/>
      <c r="Q48" s="729"/>
      <c r="R48" s="729"/>
      <c r="S48" s="729"/>
      <c r="T48" s="729"/>
      <c r="U48" s="729"/>
      <c r="V48" s="723"/>
      <c r="W48" s="723"/>
      <c r="X48" s="724">
        <f t="shared" si="3"/>
        <v>0</v>
      </c>
      <c r="Y48" s="1042">
        <f t="shared" si="4"/>
        <v>0</v>
      </c>
      <c r="Z48" s="1096"/>
      <c r="AA48" s="1108">
        <f t="shared" si="5"/>
        <v>0</v>
      </c>
      <c r="AB48" s="740">
        <f t="shared" si="6"/>
        <v>0</v>
      </c>
      <c r="AC48" s="740">
        <f t="shared" si="21"/>
        <v>0</v>
      </c>
      <c r="AD48" s="740">
        <f t="shared" si="22"/>
        <v>0</v>
      </c>
      <c r="AE48" s="1108">
        <f t="shared" si="7"/>
        <v>0</v>
      </c>
      <c r="AF48" s="740">
        <f t="shared" si="8"/>
        <v>0</v>
      </c>
      <c r="AG48" s="740">
        <f t="shared" si="9"/>
        <v>0</v>
      </c>
      <c r="AH48" s="740">
        <f t="shared" si="10"/>
        <v>0</v>
      </c>
      <c r="AI48" s="1108">
        <f t="shared" si="11"/>
        <v>0</v>
      </c>
      <c r="AJ48" s="740">
        <f t="shared" si="12"/>
        <v>0</v>
      </c>
      <c r="AK48" s="740">
        <f t="shared" si="13"/>
        <v>0</v>
      </c>
      <c r="AL48" s="740">
        <f t="shared" si="14"/>
        <v>0</v>
      </c>
      <c r="AM48" s="740">
        <f t="shared" si="15"/>
        <v>0</v>
      </c>
      <c r="AN48" s="1108">
        <f t="shared" si="16"/>
        <v>0</v>
      </c>
      <c r="AO48" s="740">
        <f t="shared" si="17"/>
        <v>0</v>
      </c>
      <c r="AP48" s="740">
        <f t="shared" si="18"/>
        <v>0</v>
      </c>
      <c r="AQ48" s="740">
        <f t="shared" si="19"/>
        <v>0</v>
      </c>
      <c r="AR48" s="740">
        <f t="shared" si="20"/>
        <v>0</v>
      </c>
    </row>
    <row r="49" spans="1:44" ht="13.5" thickBot="1">
      <c r="A49" s="731" t="s">
        <v>469</v>
      </c>
      <c r="B49" s="731"/>
      <c r="C49" s="865">
        <f>IF(ISERROR(SUM(C22:C48)),0,(SUM(C22:C48)))</f>
        <v>0</v>
      </c>
      <c r="D49" s="732">
        <f>IF(ISERROR(SUM(D22:D48)/C49),0,((SUM(D22:D48))/C49))</f>
        <v>0</v>
      </c>
      <c r="E49" s="733">
        <f>SUM(E22:E48)</f>
        <v>0</v>
      </c>
      <c r="F49" s="734">
        <f>IFERROR(E49/C49,0)</f>
        <v>0</v>
      </c>
      <c r="G49" s="936"/>
      <c r="H49" s="1000"/>
      <c r="I49" s="864">
        <f>SUM(I22:I48)</f>
        <v>0</v>
      </c>
      <c r="J49" s="924"/>
      <c r="K49" s="924"/>
      <c r="L49" s="924"/>
      <c r="M49" s="735">
        <f>IF(ISERROR(SUM(M22:M48)/I49),0,(SUM(M22:M48)/I49))</f>
        <v>0</v>
      </c>
      <c r="N49" s="735">
        <f>IF(ISERROR(SUM(N22:N48)/I49),0,(SUM(N22:N48)/I49))</f>
        <v>0</v>
      </c>
      <c r="O49" s="735">
        <f>IF(ISERROR(SUM(O22:O48)/I49),0,(SUM(O22:O48)/I49))</f>
        <v>0</v>
      </c>
      <c r="P49" s="735">
        <f>IF(ISERROR(SUM(P22:P48)/I49),0,(SUM(P22:P48)/I49))</f>
        <v>0</v>
      </c>
      <c r="Q49" s="735">
        <f>IF(ISERROR(SUM(Q22:Q48)/I49),0,(SUM(Q22:Q48)/I49))</f>
        <v>0</v>
      </c>
      <c r="R49" s="735">
        <f>IF(ISERROR(SUM(R22:R48)/I49),0,(SUM(R22:R48)/I49))</f>
        <v>0</v>
      </c>
      <c r="S49" s="735">
        <f>IF(ISERROR(SUM(S22:S48)/I49),0,(SUM(S22:S48)/I49))</f>
        <v>0</v>
      </c>
      <c r="T49" s="735">
        <f>IF(ISERROR(SUM(T22:T48)/I49),0,(SUM(T22:T48)/I49))</f>
        <v>0</v>
      </c>
      <c r="U49" s="735">
        <f>IF(ISERROR(SUM(U22:U48)/I49),0,(SUM(U22:U48)/I49))</f>
        <v>0</v>
      </c>
      <c r="V49" s="735">
        <f>IF(ISERROR(SUM(V22:V48)/I49),0,(SUM(V22:V48)/I49))</f>
        <v>0</v>
      </c>
      <c r="W49" s="735">
        <f>IF(ISERROR(SUM(W22:W48)/I49),0,(SUM(W22:W48)/I49))</f>
        <v>0</v>
      </c>
      <c r="X49" s="735">
        <f>SUM(X22:X48)</f>
        <v>0</v>
      </c>
      <c r="Y49" s="736">
        <f>IFERROR(SUM(X49/I49),0)</f>
        <v>0</v>
      </c>
      <c r="Z49" s="1097"/>
      <c r="AA49" s="1011"/>
      <c r="AB49" s="1011"/>
      <c r="AC49" s="1011"/>
      <c r="AD49" s="1011"/>
      <c r="AE49" s="1011"/>
      <c r="AF49" s="1011"/>
      <c r="AG49" s="1011"/>
      <c r="AH49" s="1011"/>
      <c r="AI49" s="1011"/>
      <c r="AJ49" s="1011"/>
      <c r="AK49" s="1011"/>
      <c r="AL49" s="1011"/>
      <c r="AM49" s="1011"/>
      <c r="AN49" s="1011"/>
      <c r="AO49" s="1011"/>
      <c r="AP49" s="1011"/>
      <c r="AQ49" s="1011"/>
      <c r="AR49" s="1011"/>
    </row>
    <row r="50" spans="1:44" ht="14.25" customHeight="1" thickBot="1">
      <c r="D50" s="1010"/>
      <c r="E50" s="738"/>
      <c r="X50" s="803" t="s">
        <v>506</v>
      </c>
      <c r="Y50" s="757" t="str">
        <f>IFERROR(Y49*100/F49-100,"")</f>
        <v/>
      </c>
      <c r="Z50" s="1098"/>
      <c r="AA50" s="737"/>
      <c r="AB50" s="737"/>
      <c r="AC50" s="737"/>
      <c r="AD50" s="737"/>
      <c r="AE50" s="737"/>
      <c r="AF50" s="737"/>
      <c r="AG50" s="737"/>
      <c r="AH50" s="737"/>
      <c r="AI50" s="737"/>
      <c r="AJ50" s="737"/>
      <c r="AK50" s="737"/>
      <c r="AL50" s="737"/>
      <c r="AM50" s="737"/>
      <c r="AN50" s="737"/>
      <c r="AO50" s="737"/>
      <c r="AP50" s="737"/>
      <c r="AQ50" s="737"/>
      <c r="AR50" s="737"/>
    </row>
    <row r="51" spans="1:44" ht="13.5" thickBot="1">
      <c r="A51" s="315" t="s">
        <v>470</v>
      </c>
      <c r="B51" s="315"/>
      <c r="D51" s="934"/>
      <c r="E51" s="934"/>
      <c r="Z51" s="1092"/>
    </row>
    <row r="52" spans="1:44">
      <c r="A52" s="1187"/>
      <c r="B52" s="1188"/>
      <c r="C52" s="1189"/>
      <c r="D52" s="1039"/>
      <c r="E52" s="1039"/>
      <c r="F52" s="722">
        <f>IF(ISERROR(E52/C52),0,(E52/C52))</f>
        <v>0</v>
      </c>
      <c r="G52" s="1034"/>
      <c r="H52" s="1111"/>
      <c r="I52" s="1035"/>
      <c r="J52" s="1036"/>
      <c r="K52" s="1036"/>
      <c r="L52" s="1037"/>
      <c r="M52" s="1038">
        <f t="shared" ref="M52:M80" si="23">IFERROR(L52*I52,"")</f>
        <v>0</v>
      </c>
      <c r="N52" s="1039"/>
      <c r="O52" s="1039"/>
      <c r="P52" s="1039"/>
      <c r="Q52" s="1039"/>
      <c r="R52" s="1039"/>
      <c r="S52" s="1039"/>
      <c r="T52" s="1039"/>
      <c r="U52" s="1039"/>
      <c r="V52" s="1039"/>
      <c r="W52" s="1039"/>
      <c r="X52" s="1040">
        <f t="shared" ref="X52:X80" si="24">IFERROR(IF(G52&lt;&gt;"GfB",(SUM(M52:P52,R52,V52)*12+(T52+U52))*(100+$P$12+$P$13)%+((Q52+S52+W52)*12),(SUM(M52:P52,R52,V52)*12+(T52+U52))*(100+$P$15+$P$13)%+((Q52+S52+W52)*12)),0)</f>
        <v>0</v>
      </c>
      <c r="Y52" s="722">
        <f t="shared" ref="Y52:Y79" si="25">IF(ISERROR(X52/I52),0,(X52/I52))</f>
        <v>0</v>
      </c>
      <c r="Z52" s="1096"/>
      <c r="AA52" s="1108">
        <f t="shared" ref="AA52:AA80" si="26">IF(AND($H52="PFK/BFK",$I52&gt;0,$L52&gt;0),($M52+$N52),0)</f>
        <v>0</v>
      </c>
      <c r="AB52" s="740">
        <f t="shared" ref="AB52:AB80" si="27">IF(AND($H52="PFK/BFK",$I52&gt;0,$L52&gt;0),$O52,0)</f>
        <v>0</v>
      </c>
      <c r="AC52" s="740">
        <f t="shared" ref="AC52:AC80" si="28">IF(AND($H52="PFK/BFK",$I52&gt;0,$L52&gt;0),($P52+$Q52),0)</f>
        <v>0</v>
      </c>
      <c r="AD52" s="740">
        <f t="shared" ref="AD52:AD80" si="29">IF(AND($H52="PFK/BFK",$I52&gt;0,$L52&gt;0),(($T52+$U52)/12),0)</f>
        <v>0</v>
      </c>
      <c r="AE52" s="1108">
        <f t="shared" ref="AE52:AE80" si="30">IF(AND($H52="PK/BK",$I52&gt;0,$L52&gt;0),($M52+$N52),0)</f>
        <v>0</v>
      </c>
      <c r="AF52" s="740">
        <f t="shared" ref="AF52:AF80" si="31">IF(AND($H52="PK/BK",$I52&gt;0,$L52&gt;0),$O52,0)</f>
        <v>0</v>
      </c>
      <c r="AG52" s="740">
        <f t="shared" ref="AG52:AG80" si="32">IF(AND($H52="PK/BK",$I52&gt;0,$L52&gt;0),($P52+$Q52),0)</f>
        <v>0</v>
      </c>
      <c r="AH52" s="740">
        <f t="shared" ref="AH52:AH80" si="33">IF(AND($H52="PK/BK",$I52&gt;0,$L52&gt;0),(($T52+$U52)/12),0)</f>
        <v>0</v>
      </c>
      <c r="AI52" s="1108">
        <f t="shared" ref="AI52:AI80" si="34">IF(AND($H52="PK/BK o.",$I52&gt;0,$L52&gt;0),($M52+$N52),0)</f>
        <v>0</v>
      </c>
      <c r="AJ52" s="740">
        <f t="shared" ref="AJ52:AJ80" si="35">IF(AND($H52="PK/BK o.",$I52&gt;0,$L52&gt;0),$O52,0)</f>
        <v>0</v>
      </c>
      <c r="AK52" s="740">
        <f t="shared" ref="AK52:AK80" si="36">IF(AND($H52="PK/BK o.",$I52&gt;0,$L52&gt;0),($P52+$Q52),0)</f>
        <v>0</v>
      </c>
      <c r="AL52" s="740">
        <f t="shared" ref="AL52:AL80" si="37">IF(AND($H52="PK/BK o.",$I52&gt;0,$L52&gt;0),(($T52+$U52)/12),0)</f>
        <v>0</v>
      </c>
      <c r="AM52" s="740">
        <f t="shared" ref="AM52:AM80" si="38">IF(AND($H52="PFK/BFK",$I52&gt;0,$L52&gt;0),$I52,0)</f>
        <v>0</v>
      </c>
      <c r="AN52" s="1108">
        <f t="shared" ref="AN52:AN80" si="39">IF(AND($H52="PK/BK",$I52&gt;0,$L52&gt;0),$I52,0)</f>
        <v>0</v>
      </c>
      <c r="AO52" s="740">
        <f t="shared" ref="AO52:AO80" si="40">IF(AND($H52="PK/BK o.",$I52&gt;0,$L52&gt;0),$I52,0)</f>
        <v>0</v>
      </c>
      <c r="AP52" s="740">
        <f t="shared" ref="AP52:AP80" si="41">IF(AND($H52="PFK/BFK",$I52&gt;0,$L52&gt;0),$X52,0)</f>
        <v>0</v>
      </c>
      <c r="AQ52" s="740">
        <f t="shared" ref="AQ52:AQ80" si="42">IF(AND($H52="PK/BK",$I52&gt;0,$L52&gt;0),$X52,0)</f>
        <v>0</v>
      </c>
      <c r="AR52" s="740">
        <f t="shared" ref="AR52:AR80" si="43">IF(AND($H52="PK/BK o.",$I52&gt;0,$L52&gt;0),$X52,0)</f>
        <v>0</v>
      </c>
    </row>
    <row r="53" spans="1:44">
      <c r="A53" s="1190"/>
      <c r="B53" s="1191"/>
      <c r="C53" s="862"/>
      <c r="D53" s="727"/>
      <c r="E53" s="727"/>
      <c r="F53" s="725">
        <f>IF(ISERROR(E53/C53),0,(E53/C53))</f>
        <v>0</v>
      </c>
      <c r="G53" s="901"/>
      <c r="H53" s="1001"/>
      <c r="I53" s="918"/>
      <c r="J53" s="900"/>
      <c r="K53" s="900"/>
      <c r="L53" s="899"/>
      <c r="M53" s="933">
        <f t="shared" si="23"/>
        <v>0</v>
      </c>
      <c r="N53" s="727"/>
      <c r="O53" s="727"/>
      <c r="P53" s="727"/>
      <c r="Q53" s="727"/>
      <c r="R53" s="727"/>
      <c r="S53" s="727"/>
      <c r="T53" s="727"/>
      <c r="U53" s="727"/>
      <c r="V53" s="727"/>
      <c r="W53" s="727"/>
      <c r="X53" s="740">
        <f t="shared" si="24"/>
        <v>0</v>
      </c>
      <c r="Y53" s="725">
        <f t="shared" si="25"/>
        <v>0</v>
      </c>
      <c r="Z53" s="1096"/>
      <c r="AA53" s="1108">
        <f t="shared" si="26"/>
        <v>0</v>
      </c>
      <c r="AB53" s="740">
        <f t="shared" si="27"/>
        <v>0</v>
      </c>
      <c r="AC53" s="740">
        <f t="shared" si="28"/>
        <v>0</v>
      </c>
      <c r="AD53" s="740">
        <f t="shared" si="29"/>
        <v>0</v>
      </c>
      <c r="AE53" s="1108">
        <f t="shared" si="30"/>
        <v>0</v>
      </c>
      <c r="AF53" s="740">
        <f t="shared" si="31"/>
        <v>0</v>
      </c>
      <c r="AG53" s="740">
        <f t="shared" si="32"/>
        <v>0</v>
      </c>
      <c r="AH53" s="740">
        <f t="shared" si="33"/>
        <v>0</v>
      </c>
      <c r="AI53" s="1108">
        <f t="shared" si="34"/>
        <v>0</v>
      </c>
      <c r="AJ53" s="740">
        <f t="shared" si="35"/>
        <v>0</v>
      </c>
      <c r="AK53" s="740">
        <f t="shared" si="36"/>
        <v>0</v>
      </c>
      <c r="AL53" s="740">
        <f t="shared" si="37"/>
        <v>0</v>
      </c>
      <c r="AM53" s="740">
        <f t="shared" si="38"/>
        <v>0</v>
      </c>
      <c r="AN53" s="1108">
        <f t="shared" si="39"/>
        <v>0</v>
      </c>
      <c r="AO53" s="740">
        <f t="shared" si="40"/>
        <v>0</v>
      </c>
      <c r="AP53" s="740">
        <f t="shared" si="41"/>
        <v>0</v>
      </c>
      <c r="AQ53" s="740">
        <f t="shared" si="42"/>
        <v>0</v>
      </c>
      <c r="AR53" s="740">
        <f t="shared" si="43"/>
        <v>0</v>
      </c>
    </row>
    <row r="54" spans="1:44">
      <c r="A54" s="1190"/>
      <c r="B54" s="1191"/>
      <c r="C54" s="1192"/>
      <c r="D54" s="727"/>
      <c r="E54" s="727"/>
      <c r="F54" s="725">
        <f>IF(ISERROR(E54/C54),0,(E54/C54))</f>
        <v>0</v>
      </c>
      <c r="G54" s="901"/>
      <c r="H54" s="1001"/>
      <c r="I54" s="918"/>
      <c r="J54" s="900"/>
      <c r="K54" s="900"/>
      <c r="L54" s="899"/>
      <c r="M54" s="933">
        <f t="shared" si="23"/>
        <v>0</v>
      </c>
      <c r="N54" s="727"/>
      <c r="O54" s="727"/>
      <c r="P54" s="727"/>
      <c r="Q54" s="727"/>
      <c r="R54" s="727"/>
      <c r="S54" s="727"/>
      <c r="T54" s="727"/>
      <c r="U54" s="727"/>
      <c r="V54" s="727"/>
      <c r="W54" s="727"/>
      <c r="X54" s="740">
        <f t="shared" si="24"/>
        <v>0</v>
      </c>
      <c r="Y54" s="725">
        <f t="shared" si="25"/>
        <v>0</v>
      </c>
      <c r="Z54" s="1096"/>
      <c r="AA54" s="1108">
        <f t="shared" si="26"/>
        <v>0</v>
      </c>
      <c r="AB54" s="740">
        <f t="shared" si="27"/>
        <v>0</v>
      </c>
      <c r="AC54" s="740">
        <f t="shared" si="28"/>
        <v>0</v>
      </c>
      <c r="AD54" s="740">
        <f t="shared" si="29"/>
        <v>0</v>
      </c>
      <c r="AE54" s="1108">
        <f t="shared" si="30"/>
        <v>0</v>
      </c>
      <c r="AF54" s="740">
        <f t="shared" si="31"/>
        <v>0</v>
      </c>
      <c r="AG54" s="740">
        <f t="shared" si="32"/>
        <v>0</v>
      </c>
      <c r="AH54" s="740">
        <f t="shared" si="33"/>
        <v>0</v>
      </c>
      <c r="AI54" s="1108">
        <f t="shared" si="34"/>
        <v>0</v>
      </c>
      <c r="AJ54" s="740">
        <f t="shared" si="35"/>
        <v>0</v>
      </c>
      <c r="AK54" s="740">
        <f t="shared" si="36"/>
        <v>0</v>
      </c>
      <c r="AL54" s="740">
        <f t="shared" si="37"/>
        <v>0</v>
      </c>
      <c r="AM54" s="740">
        <f t="shared" si="38"/>
        <v>0</v>
      </c>
      <c r="AN54" s="1108">
        <f t="shared" si="39"/>
        <v>0</v>
      </c>
      <c r="AO54" s="740">
        <f t="shared" si="40"/>
        <v>0</v>
      </c>
      <c r="AP54" s="740">
        <f t="shared" si="41"/>
        <v>0</v>
      </c>
      <c r="AQ54" s="740">
        <f t="shared" si="42"/>
        <v>0</v>
      </c>
      <c r="AR54" s="740">
        <f t="shared" si="43"/>
        <v>0</v>
      </c>
    </row>
    <row r="55" spans="1:44">
      <c r="A55" s="1190"/>
      <c r="B55" s="1191"/>
      <c r="C55" s="1192"/>
      <c r="D55" s="727"/>
      <c r="E55" s="727"/>
      <c r="F55" s="725">
        <f t="shared" ref="F55:F80" si="44">IF(ISERROR(E55/C55),0,(E55/C55))</f>
        <v>0</v>
      </c>
      <c r="G55" s="877"/>
      <c r="H55" s="998"/>
      <c r="I55" s="862"/>
      <c r="J55" s="739"/>
      <c r="K55" s="739"/>
      <c r="L55" s="739"/>
      <c r="M55" s="933">
        <f t="shared" si="23"/>
        <v>0</v>
      </c>
      <c r="N55" s="727"/>
      <c r="O55" s="727"/>
      <c r="P55" s="727"/>
      <c r="Q55" s="727"/>
      <c r="R55" s="727"/>
      <c r="S55" s="727"/>
      <c r="T55" s="727"/>
      <c r="U55" s="727"/>
      <c r="V55" s="727"/>
      <c r="W55" s="727"/>
      <c r="X55" s="740">
        <f t="shared" si="24"/>
        <v>0</v>
      </c>
      <c r="Y55" s="725">
        <f t="shared" si="25"/>
        <v>0</v>
      </c>
      <c r="Z55" s="1096"/>
      <c r="AA55" s="1108">
        <f t="shared" si="26"/>
        <v>0</v>
      </c>
      <c r="AB55" s="740">
        <f t="shared" si="27"/>
        <v>0</v>
      </c>
      <c r="AC55" s="740">
        <f t="shared" si="28"/>
        <v>0</v>
      </c>
      <c r="AD55" s="740">
        <f t="shared" si="29"/>
        <v>0</v>
      </c>
      <c r="AE55" s="1108">
        <f t="shared" si="30"/>
        <v>0</v>
      </c>
      <c r="AF55" s="740">
        <f t="shared" si="31"/>
        <v>0</v>
      </c>
      <c r="AG55" s="740">
        <f t="shared" si="32"/>
        <v>0</v>
      </c>
      <c r="AH55" s="740">
        <f t="shared" si="33"/>
        <v>0</v>
      </c>
      <c r="AI55" s="1108">
        <f t="shared" si="34"/>
        <v>0</v>
      </c>
      <c r="AJ55" s="740">
        <f t="shared" si="35"/>
        <v>0</v>
      </c>
      <c r="AK55" s="740">
        <f t="shared" si="36"/>
        <v>0</v>
      </c>
      <c r="AL55" s="740">
        <f t="shared" si="37"/>
        <v>0</v>
      </c>
      <c r="AM55" s="740">
        <f t="shared" si="38"/>
        <v>0</v>
      </c>
      <c r="AN55" s="1108">
        <f t="shared" si="39"/>
        <v>0</v>
      </c>
      <c r="AO55" s="740">
        <f t="shared" si="40"/>
        <v>0</v>
      </c>
      <c r="AP55" s="740">
        <f t="shared" si="41"/>
        <v>0</v>
      </c>
      <c r="AQ55" s="740">
        <f t="shared" si="42"/>
        <v>0</v>
      </c>
      <c r="AR55" s="740">
        <f t="shared" si="43"/>
        <v>0</v>
      </c>
    </row>
    <row r="56" spans="1:44">
      <c r="A56" s="1190"/>
      <c r="B56" s="1191"/>
      <c r="C56" s="1192"/>
      <c r="D56" s="727"/>
      <c r="E56" s="727"/>
      <c r="F56" s="725">
        <f t="shared" si="44"/>
        <v>0</v>
      </c>
      <c r="G56" s="877"/>
      <c r="H56" s="998"/>
      <c r="I56" s="862"/>
      <c r="J56" s="739"/>
      <c r="K56" s="739"/>
      <c r="L56" s="739"/>
      <c r="M56" s="933">
        <f t="shared" si="23"/>
        <v>0</v>
      </c>
      <c r="N56" s="727"/>
      <c r="O56" s="727"/>
      <c r="P56" s="727"/>
      <c r="Q56" s="727"/>
      <c r="R56" s="727"/>
      <c r="S56" s="727"/>
      <c r="T56" s="727"/>
      <c r="U56" s="727"/>
      <c r="V56" s="727"/>
      <c r="W56" s="727"/>
      <c r="X56" s="740">
        <f t="shared" si="24"/>
        <v>0</v>
      </c>
      <c r="Y56" s="725">
        <f t="shared" si="25"/>
        <v>0</v>
      </c>
      <c r="Z56" s="1096"/>
      <c r="AA56" s="1108">
        <f t="shared" si="26"/>
        <v>0</v>
      </c>
      <c r="AB56" s="740">
        <f t="shared" si="27"/>
        <v>0</v>
      </c>
      <c r="AC56" s="740">
        <f t="shared" si="28"/>
        <v>0</v>
      </c>
      <c r="AD56" s="740">
        <f t="shared" si="29"/>
        <v>0</v>
      </c>
      <c r="AE56" s="1108">
        <f t="shared" si="30"/>
        <v>0</v>
      </c>
      <c r="AF56" s="740">
        <f t="shared" si="31"/>
        <v>0</v>
      </c>
      <c r="AG56" s="740">
        <f t="shared" si="32"/>
        <v>0</v>
      </c>
      <c r="AH56" s="740">
        <f t="shared" si="33"/>
        <v>0</v>
      </c>
      <c r="AI56" s="1108">
        <f t="shared" si="34"/>
        <v>0</v>
      </c>
      <c r="AJ56" s="740">
        <f t="shared" si="35"/>
        <v>0</v>
      </c>
      <c r="AK56" s="740">
        <f t="shared" si="36"/>
        <v>0</v>
      </c>
      <c r="AL56" s="740">
        <f t="shared" si="37"/>
        <v>0</v>
      </c>
      <c r="AM56" s="740">
        <f t="shared" si="38"/>
        <v>0</v>
      </c>
      <c r="AN56" s="1108">
        <f t="shared" si="39"/>
        <v>0</v>
      </c>
      <c r="AO56" s="740">
        <f t="shared" si="40"/>
        <v>0</v>
      </c>
      <c r="AP56" s="740">
        <f t="shared" si="41"/>
        <v>0</v>
      </c>
      <c r="AQ56" s="740">
        <f t="shared" si="42"/>
        <v>0</v>
      </c>
      <c r="AR56" s="740">
        <f t="shared" si="43"/>
        <v>0</v>
      </c>
    </row>
    <row r="57" spans="1:44">
      <c r="A57" s="1190"/>
      <c r="B57" s="1191"/>
      <c r="C57" s="1192"/>
      <c r="D57" s="727"/>
      <c r="E57" s="727"/>
      <c r="F57" s="725">
        <f t="shared" si="44"/>
        <v>0</v>
      </c>
      <c r="G57" s="877"/>
      <c r="H57" s="998"/>
      <c r="I57" s="862"/>
      <c r="J57" s="739"/>
      <c r="K57" s="739"/>
      <c r="L57" s="739"/>
      <c r="M57" s="933">
        <f t="shared" si="23"/>
        <v>0</v>
      </c>
      <c r="N57" s="727"/>
      <c r="O57" s="727"/>
      <c r="P57" s="727"/>
      <c r="Q57" s="727"/>
      <c r="R57" s="727"/>
      <c r="S57" s="727"/>
      <c r="T57" s="727"/>
      <c r="U57" s="727"/>
      <c r="V57" s="727"/>
      <c r="W57" s="727"/>
      <c r="X57" s="740">
        <f t="shared" si="24"/>
        <v>0</v>
      </c>
      <c r="Y57" s="725">
        <f t="shared" si="25"/>
        <v>0</v>
      </c>
      <c r="Z57" s="1096"/>
      <c r="AA57" s="1108">
        <f t="shared" si="26"/>
        <v>0</v>
      </c>
      <c r="AB57" s="740">
        <f t="shared" si="27"/>
        <v>0</v>
      </c>
      <c r="AC57" s="740">
        <f t="shared" si="28"/>
        <v>0</v>
      </c>
      <c r="AD57" s="740">
        <f t="shared" si="29"/>
        <v>0</v>
      </c>
      <c r="AE57" s="1108">
        <f t="shared" si="30"/>
        <v>0</v>
      </c>
      <c r="AF57" s="740">
        <f t="shared" si="31"/>
        <v>0</v>
      </c>
      <c r="AG57" s="740">
        <f t="shared" si="32"/>
        <v>0</v>
      </c>
      <c r="AH57" s="740">
        <f t="shared" si="33"/>
        <v>0</v>
      </c>
      <c r="AI57" s="1108">
        <f t="shared" si="34"/>
        <v>0</v>
      </c>
      <c r="AJ57" s="740">
        <f t="shared" si="35"/>
        <v>0</v>
      </c>
      <c r="AK57" s="740">
        <f t="shared" si="36"/>
        <v>0</v>
      </c>
      <c r="AL57" s="740">
        <f t="shared" si="37"/>
        <v>0</v>
      </c>
      <c r="AM57" s="740">
        <f t="shared" si="38"/>
        <v>0</v>
      </c>
      <c r="AN57" s="1108">
        <f t="shared" si="39"/>
        <v>0</v>
      </c>
      <c r="AO57" s="740">
        <f t="shared" si="40"/>
        <v>0</v>
      </c>
      <c r="AP57" s="740">
        <f t="shared" si="41"/>
        <v>0</v>
      </c>
      <c r="AQ57" s="740">
        <f t="shared" si="42"/>
        <v>0</v>
      </c>
      <c r="AR57" s="740">
        <f t="shared" si="43"/>
        <v>0</v>
      </c>
    </row>
    <row r="58" spans="1:44">
      <c r="A58" s="1190"/>
      <c r="B58" s="1191"/>
      <c r="C58" s="1192"/>
      <c r="D58" s="727"/>
      <c r="E58" s="727"/>
      <c r="F58" s="725">
        <f t="shared" si="44"/>
        <v>0</v>
      </c>
      <c r="G58" s="877"/>
      <c r="H58" s="998"/>
      <c r="I58" s="862"/>
      <c r="J58" s="739"/>
      <c r="K58" s="739"/>
      <c r="L58" s="739"/>
      <c r="M58" s="933">
        <f t="shared" si="23"/>
        <v>0</v>
      </c>
      <c r="N58" s="727"/>
      <c r="O58" s="727"/>
      <c r="P58" s="727"/>
      <c r="Q58" s="727"/>
      <c r="R58" s="727"/>
      <c r="S58" s="727"/>
      <c r="T58" s="727"/>
      <c r="U58" s="727"/>
      <c r="V58" s="727"/>
      <c r="W58" s="727"/>
      <c r="X58" s="740">
        <f t="shared" si="24"/>
        <v>0</v>
      </c>
      <c r="Y58" s="725">
        <f t="shared" si="25"/>
        <v>0</v>
      </c>
      <c r="Z58" s="1096"/>
      <c r="AA58" s="1108">
        <f t="shared" si="26"/>
        <v>0</v>
      </c>
      <c r="AB58" s="740">
        <f t="shared" si="27"/>
        <v>0</v>
      </c>
      <c r="AC58" s="740">
        <f t="shared" si="28"/>
        <v>0</v>
      </c>
      <c r="AD58" s="740">
        <f t="shared" si="29"/>
        <v>0</v>
      </c>
      <c r="AE58" s="1108">
        <f t="shared" si="30"/>
        <v>0</v>
      </c>
      <c r="AF58" s="740">
        <f t="shared" si="31"/>
        <v>0</v>
      </c>
      <c r="AG58" s="740">
        <f t="shared" si="32"/>
        <v>0</v>
      </c>
      <c r="AH58" s="740">
        <f t="shared" si="33"/>
        <v>0</v>
      </c>
      <c r="AI58" s="1108">
        <f t="shared" si="34"/>
        <v>0</v>
      </c>
      <c r="AJ58" s="740">
        <f t="shared" si="35"/>
        <v>0</v>
      </c>
      <c r="AK58" s="740">
        <f t="shared" si="36"/>
        <v>0</v>
      </c>
      <c r="AL58" s="740">
        <f t="shared" si="37"/>
        <v>0</v>
      </c>
      <c r="AM58" s="740">
        <f t="shared" si="38"/>
        <v>0</v>
      </c>
      <c r="AN58" s="1108">
        <f t="shared" si="39"/>
        <v>0</v>
      </c>
      <c r="AO58" s="740">
        <f t="shared" si="40"/>
        <v>0</v>
      </c>
      <c r="AP58" s="740">
        <f t="shared" si="41"/>
        <v>0</v>
      </c>
      <c r="AQ58" s="740">
        <f t="shared" si="42"/>
        <v>0</v>
      </c>
      <c r="AR58" s="740">
        <f t="shared" si="43"/>
        <v>0</v>
      </c>
    </row>
    <row r="59" spans="1:44">
      <c r="A59" s="1190"/>
      <c r="B59" s="1191"/>
      <c r="C59" s="1192"/>
      <c r="D59" s="727"/>
      <c r="E59" s="727"/>
      <c r="F59" s="725">
        <f t="shared" si="44"/>
        <v>0</v>
      </c>
      <c r="G59" s="877"/>
      <c r="H59" s="998"/>
      <c r="I59" s="862"/>
      <c r="J59" s="739"/>
      <c r="K59" s="739"/>
      <c r="L59" s="739"/>
      <c r="M59" s="933">
        <f t="shared" si="23"/>
        <v>0</v>
      </c>
      <c r="N59" s="727"/>
      <c r="O59" s="727"/>
      <c r="P59" s="727"/>
      <c r="Q59" s="727"/>
      <c r="R59" s="727"/>
      <c r="S59" s="727"/>
      <c r="T59" s="727"/>
      <c r="U59" s="727"/>
      <c r="V59" s="727"/>
      <c r="W59" s="727"/>
      <c r="X59" s="740">
        <f t="shared" si="24"/>
        <v>0</v>
      </c>
      <c r="Y59" s="725">
        <f t="shared" si="25"/>
        <v>0</v>
      </c>
      <c r="Z59" s="1096"/>
      <c r="AA59" s="1108">
        <f t="shared" si="26"/>
        <v>0</v>
      </c>
      <c r="AB59" s="740">
        <f t="shared" si="27"/>
        <v>0</v>
      </c>
      <c r="AC59" s="740">
        <f t="shared" si="28"/>
        <v>0</v>
      </c>
      <c r="AD59" s="740">
        <f t="shared" si="29"/>
        <v>0</v>
      </c>
      <c r="AE59" s="1108">
        <f t="shared" si="30"/>
        <v>0</v>
      </c>
      <c r="AF59" s="740">
        <f t="shared" si="31"/>
        <v>0</v>
      </c>
      <c r="AG59" s="740">
        <f t="shared" si="32"/>
        <v>0</v>
      </c>
      <c r="AH59" s="740">
        <f t="shared" si="33"/>
        <v>0</v>
      </c>
      <c r="AI59" s="1108">
        <f t="shared" si="34"/>
        <v>0</v>
      </c>
      <c r="AJ59" s="740">
        <f t="shared" si="35"/>
        <v>0</v>
      </c>
      <c r="AK59" s="740">
        <f t="shared" si="36"/>
        <v>0</v>
      </c>
      <c r="AL59" s="740">
        <f t="shared" si="37"/>
        <v>0</v>
      </c>
      <c r="AM59" s="740">
        <f t="shared" si="38"/>
        <v>0</v>
      </c>
      <c r="AN59" s="1108">
        <f t="shared" si="39"/>
        <v>0</v>
      </c>
      <c r="AO59" s="740">
        <f t="shared" si="40"/>
        <v>0</v>
      </c>
      <c r="AP59" s="740">
        <f t="shared" si="41"/>
        <v>0</v>
      </c>
      <c r="AQ59" s="740">
        <f t="shared" si="42"/>
        <v>0</v>
      </c>
      <c r="AR59" s="740">
        <f t="shared" si="43"/>
        <v>0</v>
      </c>
    </row>
    <row r="60" spans="1:44">
      <c r="A60" s="1190"/>
      <c r="B60" s="1191"/>
      <c r="C60" s="1192"/>
      <c r="D60" s="727"/>
      <c r="E60" s="727"/>
      <c r="F60" s="725">
        <f t="shared" si="44"/>
        <v>0</v>
      </c>
      <c r="G60" s="877"/>
      <c r="H60" s="998"/>
      <c r="I60" s="862"/>
      <c r="J60" s="739"/>
      <c r="K60" s="739"/>
      <c r="L60" s="739"/>
      <c r="M60" s="933">
        <f t="shared" si="23"/>
        <v>0</v>
      </c>
      <c r="N60" s="727"/>
      <c r="O60" s="727"/>
      <c r="P60" s="727"/>
      <c r="Q60" s="727"/>
      <c r="R60" s="727"/>
      <c r="S60" s="727"/>
      <c r="T60" s="727"/>
      <c r="U60" s="727"/>
      <c r="V60" s="727"/>
      <c r="W60" s="727"/>
      <c r="X60" s="740">
        <f t="shared" si="24"/>
        <v>0</v>
      </c>
      <c r="Y60" s="725">
        <f t="shared" si="25"/>
        <v>0</v>
      </c>
      <c r="Z60" s="1096"/>
      <c r="AA60" s="1108">
        <f t="shared" si="26"/>
        <v>0</v>
      </c>
      <c r="AB60" s="740">
        <f t="shared" si="27"/>
        <v>0</v>
      </c>
      <c r="AC60" s="740">
        <f t="shared" si="28"/>
        <v>0</v>
      </c>
      <c r="AD60" s="740">
        <f t="shared" si="29"/>
        <v>0</v>
      </c>
      <c r="AE60" s="1108">
        <f t="shared" si="30"/>
        <v>0</v>
      </c>
      <c r="AF60" s="740">
        <f t="shared" si="31"/>
        <v>0</v>
      </c>
      <c r="AG60" s="740">
        <f t="shared" si="32"/>
        <v>0</v>
      </c>
      <c r="AH60" s="740">
        <f t="shared" si="33"/>
        <v>0</v>
      </c>
      <c r="AI60" s="1108">
        <f t="shared" si="34"/>
        <v>0</v>
      </c>
      <c r="AJ60" s="740">
        <f t="shared" si="35"/>
        <v>0</v>
      </c>
      <c r="AK60" s="740">
        <f t="shared" si="36"/>
        <v>0</v>
      </c>
      <c r="AL60" s="740">
        <f t="shared" si="37"/>
        <v>0</v>
      </c>
      <c r="AM60" s="740">
        <f t="shared" si="38"/>
        <v>0</v>
      </c>
      <c r="AN60" s="1108">
        <f t="shared" si="39"/>
        <v>0</v>
      </c>
      <c r="AO60" s="740">
        <f t="shared" si="40"/>
        <v>0</v>
      </c>
      <c r="AP60" s="740">
        <f t="shared" si="41"/>
        <v>0</v>
      </c>
      <c r="AQ60" s="740">
        <f t="shared" si="42"/>
        <v>0</v>
      </c>
      <c r="AR60" s="740">
        <f t="shared" si="43"/>
        <v>0</v>
      </c>
    </row>
    <row r="61" spans="1:44">
      <c r="A61" s="1190"/>
      <c r="B61" s="1191"/>
      <c r="C61" s="1192"/>
      <c r="D61" s="727"/>
      <c r="E61" s="727"/>
      <c r="F61" s="725">
        <f t="shared" si="44"/>
        <v>0</v>
      </c>
      <c r="G61" s="877"/>
      <c r="H61" s="998"/>
      <c r="I61" s="862"/>
      <c r="J61" s="739"/>
      <c r="K61" s="739"/>
      <c r="L61" s="739"/>
      <c r="M61" s="933">
        <f t="shared" si="23"/>
        <v>0</v>
      </c>
      <c r="N61" s="727"/>
      <c r="O61" s="727"/>
      <c r="P61" s="727"/>
      <c r="Q61" s="727"/>
      <c r="R61" s="727"/>
      <c r="S61" s="727"/>
      <c r="T61" s="727"/>
      <c r="U61" s="727"/>
      <c r="V61" s="727"/>
      <c r="W61" s="727"/>
      <c r="X61" s="740">
        <f t="shared" si="24"/>
        <v>0</v>
      </c>
      <c r="Y61" s="725">
        <f t="shared" si="25"/>
        <v>0</v>
      </c>
      <c r="Z61" s="1096"/>
      <c r="AA61" s="1108">
        <f t="shared" si="26"/>
        <v>0</v>
      </c>
      <c r="AB61" s="740">
        <f t="shared" si="27"/>
        <v>0</v>
      </c>
      <c r="AC61" s="740">
        <f t="shared" si="28"/>
        <v>0</v>
      </c>
      <c r="AD61" s="740">
        <f t="shared" si="29"/>
        <v>0</v>
      </c>
      <c r="AE61" s="1108">
        <f t="shared" si="30"/>
        <v>0</v>
      </c>
      <c r="AF61" s="740">
        <f t="shared" si="31"/>
        <v>0</v>
      </c>
      <c r="AG61" s="740">
        <f t="shared" si="32"/>
        <v>0</v>
      </c>
      <c r="AH61" s="740">
        <f t="shared" si="33"/>
        <v>0</v>
      </c>
      <c r="AI61" s="1108">
        <f t="shared" si="34"/>
        <v>0</v>
      </c>
      <c r="AJ61" s="740">
        <f t="shared" si="35"/>
        <v>0</v>
      </c>
      <c r="AK61" s="740">
        <f t="shared" si="36"/>
        <v>0</v>
      </c>
      <c r="AL61" s="740">
        <f t="shared" si="37"/>
        <v>0</v>
      </c>
      <c r="AM61" s="740">
        <f t="shared" si="38"/>
        <v>0</v>
      </c>
      <c r="AN61" s="1108">
        <f t="shared" si="39"/>
        <v>0</v>
      </c>
      <c r="AO61" s="740">
        <f t="shared" si="40"/>
        <v>0</v>
      </c>
      <c r="AP61" s="740">
        <f t="shared" si="41"/>
        <v>0</v>
      </c>
      <c r="AQ61" s="740">
        <f t="shared" si="42"/>
        <v>0</v>
      </c>
      <c r="AR61" s="740">
        <f t="shared" si="43"/>
        <v>0</v>
      </c>
    </row>
    <row r="62" spans="1:44">
      <c r="A62" s="1190"/>
      <c r="B62" s="1191"/>
      <c r="C62" s="1192"/>
      <c r="D62" s="727"/>
      <c r="E62" s="727"/>
      <c r="F62" s="725">
        <f t="shared" si="44"/>
        <v>0</v>
      </c>
      <c r="G62" s="877"/>
      <c r="H62" s="998"/>
      <c r="I62" s="862"/>
      <c r="J62" s="739"/>
      <c r="K62" s="739"/>
      <c r="L62" s="739"/>
      <c r="M62" s="933">
        <f t="shared" si="23"/>
        <v>0</v>
      </c>
      <c r="N62" s="727"/>
      <c r="O62" s="727"/>
      <c r="P62" s="727"/>
      <c r="Q62" s="727"/>
      <c r="R62" s="727"/>
      <c r="S62" s="727"/>
      <c r="T62" s="727"/>
      <c r="U62" s="727"/>
      <c r="V62" s="727"/>
      <c r="W62" s="727"/>
      <c r="X62" s="740">
        <f t="shared" si="24"/>
        <v>0</v>
      </c>
      <c r="Y62" s="725">
        <f t="shared" si="25"/>
        <v>0</v>
      </c>
      <c r="Z62" s="1096"/>
      <c r="AA62" s="1108">
        <f t="shared" si="26"/>
        <v>0</v>
      </c>
      <c r="AB62" s="740">
        <f t="shared" si="27"/>
        <v>0</v>
      </c>
      <c r="AC62" s="740">
        <f t="shared" si="28"/>
        <v>0</v>
      </c>
      <c r="AD62" s="740">
        <f t="shared" si="29"/>
        <v>0</v>
      </c>
      <c r="AE62" s="1108">
        <f t="shared" si="30"/>
        <v>0</v>
      </c>
      <c r="AF62" s="740">
        <f t="shared" si="31"/>
        <v>0</v>
      </c>
      <c r="AG62" s="740">
        <f t="shared" si="32"/>
        <v>0</v>
      </c>
      <c r="AH62" s="740">
        <f t="shared" si="33"/>
        <v>0</v>
      </c>
      <c r="AI62" s="1108">
        <f t="shared" si="34"/>
        <v>0</v>
      </c>
      <c r="AJ62" s="740">
        <f t="shared" si="35"/>
        <v>0</v>
      </c>
      <c r="AK62" s="740">
        <f t="shared" si="36"/>
        <v>0</v>
      </c>
      <c r="AL62" s="740">
        <f t="shared" si="37"/>
        <v>0</v>
      </c>
      <c r="AM62" s="740">
        <f t="shared" si="38"/>
        <v>0</v>
      </c>
      <c r="AN62" s="1108">
        <f t="shared" si="39"/>
        <v>0</v>
      </c>
      <c r="AO62" s="740">
        <f t="shared" si="40"/>
        <v>0</v>
      </c>
      <c r="AP62" s="740">
        <f t="shared" si="41"/>
        <v>0</v>
      </c>
      <c r="AQ62" s="740">
        <f t="shared" si="42"/>
        <v>0</v>
      </c>
      <c r="AR62" s="740">
        <f t="shared" si="43"/>
        <v>0</v>
      </c>
    </row>
    <row r="63" spans="1:44">
      <c r="A63" s="1190"/>
      <c r="B63" s="1191"/>
      <c r="C63" s="1192"/>
      <c r="D63" s="727"/>
      <c r="E63" s="727"/>
      <c r="F63" s="725">
        <f t="shared" si="44"/>
        <v>0</v>
      </c>
      <c r="G63" s="877"/>
      <c r="H63" s="998"/>
      <c r="I63" s="862"/>
      <c r="J63" s="739"/>
      <c r="K63" s="739"/>
      <c r="L63" s="739"/>
      <c r="M63" s="933">
        <f t="shared" si="23"/>
        <v>0</v>
      </c>
      <c r="N63" s="727"/>
      <c r="O63" s="727"/>
      <c r="P63" s="727"/>
      <c r="Q63" s="727"/>
      <c r="R63" s="727"/>
      <c r="S63" s="727"/>
      <c r="T63" s="727"/>
      <c r="U63" s="727"/>
      <c r="V63" s="727"/>
      <c r="W63" s="727"/>
      <c r="X63" s="740">
        <f t="shared" si="24"/>
        <v>0</v>
      </c>
      <c r="Y63" s="725">
        <f t="shared" si="25"/>
        <v>0</v>
      </c>
      <c r="Z63" s="1096"/>
      <c r="AA63" s="1108">
        <f t="shared" si="26"/>
        <v>0</v>
      </c>
      <c r="AB63" s="740">
        <f t="shared" si="27"/>
        <v>0</v>
      </c>
      <c r="AC63" s="740">
        <f t="shared" si="28"/>
        <v>0</v>
      </c>
      <c r="AD63" s="740">
        <f t="shared" si="29"/>
        <v>0</v>
      </c>
      <c r="AE63" s="1108">
        <f t="shared" si="30"/>
        <v>0</v>
      </c>
      <c r="AF63" s="740">
        <f t="shared" si="31"/>
        <v>0</v>
      </c>
      <c r="AG63" s="740">
        <f t="shared" si="32"/>
        <v>0</v>
      </c>
      <c r="AH63" s="740">
        <f t="shared" si="33"/>
        <v>0</v>
      </c>
      <c r="AI63" s="1108">
        <f t="shared" si="34"/>
        <v>0</v>
      </c>
      <c r="AJ63" s="740">
        <f t="shared" si="35"/>
        <v>0</v>
      </c>
      <c r="AK63" s="740">
        <f t="shared" si="36"/>
        <v>0</v>
      </c>
      <c r="AL63" s="740">
        <f t="shared" si="37"/>
        <v>0</v>
      </c>
      <c r="AM63" s="740">
        <f t="shared" si="38"/>
        <v>0</v>
      </c>
      <c r="AN63" s="1108">
        <f t="shared" si="39"/>
        <v>0</v>
      </c>
      <c r="AO63" s="740">
        <f t="shared" si="40"/>
        <v>0</v>
      </c>
      <c r="AP63" s="740">
        <f t="shared" si="41"/>
        <v>0</v>
      </c>
      <c r="AQ63" s="740">
        <f t="shared" si="42"/>
        <v>0</v>
      </c>
      <c r="AR63" s="740">
        <f t="shared" si="43"/>
        <v>0</v>
      </c>
    </row>
    <row r="64" spans="1:44">
      <c r="A64" s="1190"/>
      <c r="B64" s="1191"/>
      <c r="C64" s="1192"/>
      <c r="D64" s="727"/>
      <c r="E64" s="727"/>
      <c r="F64" s="725">
        <f t="shared" si="44"/>
        <v>0</v>
      </c>
      <c r="G64" s="877"/>
      <c r="H64" s="998"/>
      <c r="I64" s="862"/>
      <c r="J64" s="739"/>
      <c r="K64" s="739"/>
      <c r="L64" s="739"/>
      <c r="M64" s="933">
        <f t="shared" si="23"/>
        <v>0</v>
      </c>
      <c r="N64" s="727"/>
      <c r="O64" s="727"/>
      <c r="P64" s="727"/>
      <c r="Q64" s="727"/>
      <c r="R64" s="727"/>
      <c r="S64" s="727"/>
      <c r="T64" s="727"/>
      <c r="U64" s="727"/>
      <c r="V64" s="727"/>
      <c r="W64" s="727"/>
      <c r="X64" s="740">
        <f t="shared" si="24"/>
        <v>0</v>
      </c>
      <c r="Y64" s="725">
        <f t="shared" si="25"/>
        <v>0</v>
      </c>
      <c r="Z64" s="1096"/>
      <c r="AA64" s="1108">
        <f t="shared" si="26"/>
        <v>0</v>
      </c>
      <c r="AB64" s="740">
        <f t="shared" si="27"/>
        <v>0</v>
      </c>
      <c r="AC64" s="740">
        <f t="shared" si="28"/>
        <v>0</v>
      </c>
      <c r="AD64" s="740">
        <f t="shared" si="29"/>
        <v>0</v>
      </c>
      <c r="AE64" s="1108">
        <f t="shared" si="30"/>
        <v>0</v>
      </c>
      <c r="AF64" s="740">
        <f t="shared" si="31"/>
        <v>0</v>
      </c>
      <c r="AG64" s="740">
        <f t="shared" si="32"/>
        <v>0</v>
      </c>
      <c r="AH64" s="740">
        <f t="shared" si="33"/>
        <v>0</v>
      </c>
      <c r="AI64" s="1108">
        <f t="shared" si="34"/>
        <v>0</v>
      </c>
      <c r="AJ64" s="740">
        <f t="shared" si="35"/>
        <v>0</v>
      </c>
      <c r="AK64" s="740">
        <f t="shared" si="36"/>
        <v>0</v>
      </c>
      <c r="AL64" s="740">
        <f t="shared" si="37"/>
        <v>0</v>
      </c>
      <c r="AM64" s="740">
        <f t="shared" si="38"/>
        <v>0</v>
      </c>
      <c r="AN64" s="1108">
        <f t="shared" si="39"/>
        <v>0</v>
      </c>
      <c r="AO64" s="740">
        <f t="shared" si="40"/>
        <v>0</v>
      </c>
      <c r="AP64" s="740">
        <f t="shared" si="41"/>
        <v>0</v>
      </c>
      <c r="AQ64" s="740">
        <f t="shared" si="42"/>
        <v>0</v>
      </c>
      <c r="AR64" s="740">
        <f t="shared" si="43"/>
        <v>0</v>
      </c>
    </row>
    <row r="65" spans="1:50">
      <c r="A65" s="1190"/>
      <c r="B65" s="1191"/>
      <c r="C65" s="1192"/>
      <c r="D65" s="727"/>
      <c r="E65" s="727"/>
      <c r="F65" s="725">
        <f t="shared" si="44"/>
        <v>0</v>
      </c>
      <c r="G65" s="877"/>
      <c r="H65" s="998"/>
      <c r="I65" s="862"/>
      <c r="J65" s="739"/>
      <c r="K65" s="739"/>
      <c r="L65" s="739"/>
      <c r="M65" s="933">
        <f t="shared" si="23"/>
        <v>0</v>
      </c>
      <c r="N65" s="727"/>
      <c r="O65" s="727"/>
      <c r="P65" s="727"/>
      <c r="Q65" s="727"/>
      <c r="R65" s="727"/>
      <c r="S65" s="727"/>
      <c r="T65" s="727"/>
      <c r="U65" s="727"/>
      <c r="V65" s="727"/>
      <c r="W65" s="727"/>
      <c r="X65" s="740">
        <f t="shared" si="24"/>
        <v>0</v>
      </c>
      <c r="Y65" s="725">
        <f t="shared" si="25"/>
        <v>0</v>
      </c>
      <c r="Z65" s="1096"/>
      <c r="AA65" s="1108">
        <f t="shared" si="26"/>
        <v>0</v>
      </c>
      <c r="AB65" s="740">
        <f t="shared" si="27"/>
        <v>0</v>
      </c>
      <c r="AC65" s="740">
        <f t="shared" si="28"/>
        <v>0</v>
      </c>
      <c r="AD65" s="740">
        <f t="shared" si="29"/>
        <v>0</v>
      </c>
      <c r="AE65" s="1108">
        <f t="shared" si="30"/>
        <v>0</v>
      </c>
      <c r="AF65" s="740">
        <f t="shared" si="31"/>
        <v>0</v>
      </c>
      <c r="AG65" s="740">
        <f t="shared" si="32"/>
        <v>0</v>
      </c>
      <c r="AH65" s="740">
        <f t="shared" si="33"/>
        <v>0</v>
      </c>
      <c r="AI65" s="1108">
        <f t="shared" si="34"/>
        <v>0</v>
      </c>
      <c r="AJ65" s="740">
        <f t="shared" si="35"/>
        <v>0</v>
      </c>
      <c r="AK65" s="740">
        <f t="shared" si="36"/>
        <v>0</v>
      </c>
      <c r="AL65" s="740">
        <f t="shared" si="37"/>
        <v>0</v>
      </c>
      <c r="AM65" s="740">
        <f t="shared" si="38"/>
        <v>0</v>
      </c>
      <c r="AN65" s="1108">
        <f t="shared" si="39"/>
        <v>0</v>
      </c>
      <c r="AO65" s="740">
        <f t="shared" si="40"/>
        <v>0</v>
      </c>
      <c r="AP65" s="740">
        <f t="shared" si="41"/>
        <v>0</v>
      </c>
      <c r="AQ65" s="740">
        <f t="shared" si="42"/>
        <v>0</v>
      </c>
      <c r="AR65" s="740">
        <f t="shared" si="43"/>
        <v>0</v>
      </c>
      <c r="AX65" s="938"/>
    </row>
    <row r="66" spans="1:50">
      <c r="A66" s="1190"/>
      <c r="B66" s="1191"/>
      <c r="C66" s="1192"/>
      <c r="D66" s="727"/>
      <c r="E66" s="727"/>
      <c r="F66" s="725">
        <f t="shared" si="44"/>
        <v>0</v>
      </c>
      <c r="G66" s="877"/>
      <c r="H66" s="998"/>
      <c r="I66" s="862"/>
      <c r="J66" s="739"/>
      <c r="K66" s="739"/>
      <c r="L66" s="739"/>
      <c r="M66" s="933">
        <f t="shared" si="23"/>
        <v>0</v>
      </c>
      <c r="N66" s="727"/>
      <c r="O66" s="727"/>
      <c r="P66" s="727"/>
      <c r="Q66" s="727"/>
      <c r="R66" s="727"/>
      <c r="S66" s="727"/>
      <c r="T66" s="727"/>
      <c r="U66" s="727"/>
      <c r="V66" s="727"/>
      <c r="W66" s="727"/>
      <c r="X66" s="740">
        <f t="shared" si="24"/>
        <v>0</v>
      </c>
      <c r="Y66" s="725">
        <f t="shared" si="25"/>
        <v>0</v>
      </c>
      <c r="Z66" s="1096"/>
      <c r="AA66" s="1108">
        <f t="shared" si="26"/>
        <v>0</v>
      </c>
      <c r="AB66" s="740">
        <f t="shared" si="27"/>
        <v>0</v>
      </c>
      <c r="AC66" s="740">
        <f t="shared" si="28"/>
        <v>0</v>
      </c>
      <c r="AD66" s="740">
        <f t="shared" si="29"/>
        <v>0</v>
      </c>
      <c r="AE66" s="1108">
        <f t="shared" si="30"/>
        <v>0</v>
      </c>
      <c r="AF66" s="740">
        <f t="shared" si="31"/>
        <v>0</v>
      </c>
      <c r="AG66" s="740">
        <f t="shared" si="32"/>
        <v>0</v>
      </c>
      <c r="AH66" s="740">
        <f t="shared" si="33"/>
        <v>0</v>
      </c>
      <c r="AI66" s="1108">
        <f t="shared" si="34"/>
        <v>0</v>
      </c>
      <c r="AJ66" s="740">
        <f t="shared" si="35"/>
        <v>0</v>
      </c>
      <c r="AK66" s="740">
        <f t="shared" si="36"/>
        <v>0</v>
      </c>
      <c r="AL66" s="740">
        <f t="shared" si="37"/>
        <v>0</v>
      </c>
      <c r="AM66" s="740">
        <f t="shared" si="38"/>
        <v>0</v>
      </c>
      <c r="AN66" s="1108">
        <f t="shared" si="39"/>
        <v>0</v>
      </c>
      <c r="AO66" s="740">
        <f t="shared" si="40"/>
        <v>0</v>
      </c>
      <c r="AP66" s="740">
        <f t="shared" si="41"/>
        <v>0</v>
      </c>
      <c r="AQ66" s="740">
        <f t="shared" si="42"/>
        <v>0</v>
      </c>
      <c r="AR66" s="740">
        <f t="shared" si="43"/>
        <v>0</v>
      </c>
    </row>
    <row r="67" spans="1:50">
      <c r="A67" s="1190"/>
      <c r="B67" s="1191"/>
      <c r="C67" s="1192"/>
      <c r="D67" s="727"/>
      <c r="E67" s="727"/>
      <c r="F67" s="725">
        <f t="shared" si="44"/>
        <v>0</v>
      </c>
      <c r="G67" s="877"/>
      <c r="H67" s="998"/>
      <c r="I67" s="862"/>
      <c r="J67" s="739"/>
      <c r="K67" s="739"/>
      <c r="L67" s="739"/>
      <c r="M67" s="933">
        <f t="shared" si="23"/>
        <v>0</v>
      </c>
      <c r="N67" s="727"/>
      <c r="O67" s="727"/>
      <c r="P67" s="727"/>
      <c r="Q67" s="727"/>
      <c r="R67" s="727"/>
      <c r="S67" s="727"/>
      <c r="T67" s="727"/>
      <c r="U67" s="727"/>
      <c r="V67" s="727"/>
      <c r="W67" s="727"/>
      <c r="X67" s="740">
        <f t="shared" si="24"/>
        <v>0</v>
      </c>
      <c r="Y67" s="725">
        <f t="shared" si="25"/>
        <v>0</v>
      </c>
      <c r="Z67" s="1096"/>
      <c r="AA67" s="1108">
        <f t="shared" si="26"/>
        <v>0</v>
      </c>
      <c r="AB67" s="740">
        <f t="shared" si="27"/>
        <v>0</v>
      </c>
      <c r="AC67" s="740">
        <f t="shared" si="28"/>
        <v>0</v>
      </c>
      <c r="AD67" s="740">
        <f t="shared" si="29"/>
        <v>0</v>
      </c>
      <c r="AE67" s="1108">
        <f t="shared" si="30"/>
        <v>0</v>
      </c>
      <c r="AF67" s="740">
        <f t="shared" si="31"/>
        <v>0</v>
      </c>
      <c r="AG67" s="740">
        <f t="shared" si="32"/>
        <v>0</v>
      </c>
      <c r="AH67" s="740">
        <f t="shared" si="33"/>
        <v>0</v>
      </c>
      <c r="AI67" s="1108">
        <f t="shared" si="34"/>
        <v>0</v>
      </c>
      <c r="AJ67" s="740">
        <f t="shared" si="35"/>
        <v>0</v>
      </c>
      <c r="AK67" s="740">
        <f t="shared" si="36"/>
        <v>0</v>
      </c>
      <c r="AL67" s="740">
        <f t="shared" si="37"/>
        <v>0</v>
      </c>
      <c r="AM67" s="740">
        <f t="shared" si="38"/>
        <v>0</v>
      </c>
      <c r="AN67" s="1108">
        <f t="shared" si="39"/>
        <v>0</v>
      </c>
      <c r="AO67" s="740">
        <f t="shared" si="40"/>
        <v>0</v>
      </c>
      <c r="AP67" s="740">
        <f t="shared" si="41"/>
        <v>0</v>
      </c>
      <c r="AQ67" s="740">
        <f t="shared" si="42"/>
        <v>0</v>
      </c>
      <c r="AR67" s="740">
        <f t="shared" si="43"/>
        <v>0</v>
      </c>
    </row>
    <row r="68" spans="1:50">
      <c r="A68" s="1190"/>
      <c r="B68" s="1191"/>
      <c r="C68" s="1192"/>
      <c r="D68" s="727"/>
      <c r="E68" s="727"/>
      <c r="F68" s="725">
        <f t="shared" si="44"/>
        <v>0</v>
      </c>
      <c r="G68" s="877"/>
      <c r="H68" s="998"/>
      <c r="I68" s="862"/>
      <c r="J68" s="739"/>
      <c r="K68" s="739"/>
      <c r="L68" s="739"/>
      <c r="M68" s="933">
        <f t="shared" si="23"/>
        <v>0</v>
      </c>
      <c r="N68" s="727"/>
      <c r="O68" s="727"/>
      <c r="P68" s="727"/>
      <c r="Q68" s="727"/>
      <c r="R68" s="727"/>
      <c r="S68" s="727"/>
      <c r="T68" s="727"/>
      <c r="U68" s="727"/>
      <c r="V68" s="727"/>
      <c r="W68" s="727"/>
      <c r="X68" s="740">
        <f t="shared" si="24"/>
        <v>0</v>
      </c>
      <c r="Y68" s="725">
        <f t="shared" si="25"/>
        <v>0</v>
      </c>
      <c r="Z68" s="1096"/>
      <c r="AA68" s="1108">
        <f t="shared" si="26"/>
        <v>0</v>
      </c>
      <c r="AB68" s="740">
        <f t="shared" si="27"/>
        <v>0</v>
      </c>
      <c r="AC68" s="740">
        <f t="shared" si="28"/>
        <v>0</v>
      </c>
      <c r="AD68" s="740">
        <f t="shared" si="29"/>
        <v>0</v>
      </c>
      <c r="AE68" s="1108">
        <f t="shared" si="30"/>
        <v>0</v>
      </c>
      <c r="AF68" s="740">
        <f t="shared" si="31"/>
        <v>0</v>
      </c>
      <c r="AG68" s="740">
        <f t="shared" si="32"/>
        <v>0</v>
      </c>
      <c r="AH68" s="740">
        <f t="shared" si="33"/>
        <v>0</v>
      </c>
      <c r="AI68" s="1108">
        <f t="shared" si="34"/>
        <v>0</v>
      </c>
      <c r="AJ68" s="740">
        <f t="shared" si="35"/>
        <v>0</v>
      </c>
      <c r="AK68" s="740">
        <f t="shared" si="36"/>
        <v>0</v>
      </c>
      <c r="AL68" s="740">
        <f t="shared" si="37"/>
        <v>0</v>
      </c>
      <c r="AM68" s="740">
        <f t="shared" si="38"/>
        <v>0</v>
      </c>
      <c r="AN68" s="1108">
        <f t="shared" si="39"/>
        <v>0</v>
      </c>
      <c r="AO68" s="740">
        <f t="shared" si="40"/>
        <v>0</v>
      </c>
      <c r="AP68" s="740">
        <f t="shared" si="41"/>
        <v>0</v>
      </c>
      <c r="AQ68" s="740">
        <f t="shared" si="42"/>
        <v>0</v>
      </c>
      <c r="AR68" s="740">
        <f t="shared" si="43"/>
        <v>0</v>
      </c>
    </row>
    <row r="69" spans="1:50">
      <c r="A69" s="1190"/>
      <c r="B69" s="1191"/>
      <c r="C69" s="1192"/>
      <c r="D69" s="727"/>
      <c r="E69" s="727"/>
      <c r="F69" s="725">
        <f t="shared" si="44"/>
        <v>0</v>
      </c>
      <c r="G69" s="877"/>
      <c r="H69" s="998"/>
      <c r="I69" s="862"/>
      <c r="J69" s="739"/>
      <c r="K69" s="739"/>
      <c r="L69" s="739"/>
      <c r="M69" s="933">
        <f t="shared" si="23"/>
        <v>0</v>
      </c>
      <c r="N69" s="727"/>
      <c r="O69" s="727"/>
      <c r="P69" s="727"/>
      <c r="Q69" s="727"/>
      <c r="R69" s="727"/>
      <c r="S69" s="727"/>
      <c r="T69" s="727"/>
      <c r="U69" s="727"/>
      <c r="V69" s="727"/>
      <c r="W69" s="727"/>
      <c r="X69" s="740">
        <f t="shared" si="24"/>
        <v>0</v>
      </c>
      <c r="Y69" s="725">
        <f t="shared" si="25"/>
        <v>0</v>
      </c>
      <c r="Z69" s="1096"/>
      <c r="AA69" s="1108">
        <f t="shared" si="26"/>
        <v>0</v>
      </c>
      <c r="AB69" s="740">
        <f t="shared" si="27"/>
        <v>0</v>
      </c>
      <c r="AC69" s="740">
        <f t="shared" si="28"/>
        <v>0</v>
      </c>
      <c r="AD69" s="740">
        <f t="shared" si="29"/>
        <v>0</v>
      </c>
      <c r="AE69" s="1108">
        <f t="shared" si="30"/>
        <v>0</v>
      </c>
      <c r="AF69" s="740">
        <f t="shared" si="31"/>
        <v>0</v>
      </c>
      <c r="AG69" s="740">
        <f t="shared" si="32"/>
        <v>0</v>
      </c>
      <c r="AH69" s="740">
        <f t="shared" si="33"/>
        <v>0</v>
      </c>
      <c r="AI69" s="1108">
        <f t="shared" si="34"/>
        <v>0</v>
      </c>
      <c r="AJ69" s="740">
        <f t="shared" si="35"/>
        <v>0</v>
      </c>
      <c r="AK69" s="740">
        <f t="shared" si="36"/>
        <v>0</v>
      </c>
      <c r="AL69" s="740">
        <f t="shared" si="37"/>
        <v>0</v>
      </c>
      <c r="AM69" s="740">
        <f t="shared" si="38"/>
        <v>0</v>
      </c>
      <c r="AN69" s="1108">
        <f t="shared" si="39"/>
        <v>0</v>
      </c>
      <c r="AO69" s="740">
        <f t="shared" si="40"/>
        <v>0</v>
      </c>
      <c r="AP69" s="740">
        <f t="shared" si="41"/>
        <v>0</v>
      </c>
      <c r="AQ69" s="740">
        <f t="shared" si="42"/>
        <v>0</v>
      </c>
      <c r="AR69" s="740">
        <f t="shared" si="43"/>
        <v>0</v>
      </c>
    </row>
    <row r="70" spans="1:50">
      <c r="A70" s="1190"/>
      <c r="B70" s="1191"/>
      <c r="C70" s="1192"/>
      <c r="D70" s="727"/>
      <c r="E70" s="727"/>
      <c r="F70" s="725">
        <f t="shared" si="44"/>
        <v>0</v>
      </c>
      <c r="G70" s="877"/>
      <c r="H70" s="998"/>
      <c r="I70" s="862"/>
      <c r="J70" s="739"/>
      <c r="K70" s="739"/>
      <c r="L70" s="739"/>
      <c r="M70" s="933">
        <f t="shared" si="23"/>
        <v>0</v>
      </c>
      <c r="N70" s="727"/>
      <c r="O70" s="727"/>
      <c r="P70" s="727"/>
      <c r="Q70" s="727"/>
      <c r="R70" s="727"/>
      <c r="S70" s="727"/>
      <c r="T70" s="727"/>
      <c r="U70" s="727"/>
      <c r="V70" s="727"/>
      <c r="W70" s="727"/>
      <c r="X70" s="740">
        <f t="shared" si="24"/>
        <v>0</v>
      </c>
      <c r="Y70" s="725">
        <f t="shared" si="25"/>
        <v>0</v>
      </c>
      <c r="Z70" s="1096"/>
      <c r="AA70" s="1108">
        <f t="shared" si="26"/>
        <v>0</v>
      </c>
      <c r="AB70" s="740">
        <f t="shared" si="27"/>
        <v>0</v>
      </c>
      <c r="AC70" s="740">
        <f t="shared" si="28"/>
        <v>0</v>
      </c>
      <c r="AD70" s="740">
        <f t="shared" si="29"/>
        <v>0</v>
      </c>
      <c r="AE70" s="1108">
        <f t="shared" si="30"/>
        <v>0</v>
      </c>
      <c r="AF70" s="740">
        <f t="shared" si="31"/>
        <v>0</v>
      </c>
      <c r="AG70" s="740">
        <f t="shared" si="32"/>
        <v>0</v>
      </c>
      <c r="AH70" s="740">
        <f t="shared" si="33"/>
        <v>0</v>
      </c>
      <c r="AI70" s="1108">
        <f t="shared" si="34"/>
        <v>0</v>
      </c>
      <c r="AJ70" s="740">
        <f t="shared" si="35"/>
        <v>0</v>
      </c>
      <c r="AK70" s="740">
        <f t="shared" si="36"/>
        <v>0</v>
      </c>
      <c r="AL70" s="740">
        <f t="shared" si="37"/>
        <v>0</v>
      </c>
      <c r="AM70" s="740">
        <f t="shared" si="38"/>
        <v>0</v>
      </c>
      <c r="AN70" s="1108">
        <f t="shared" si="39"/>
        <v>0</v>
      </c>
      <c r="AO70" s="740">
        <f t="shared" si="40"/>
        <v>0</v>
      </c>
      <c r="AP70" s="740">
        <f t="shared" si="41"/>
        <v>0</v>
      </c>
      <c r="AQ70" s="740">
        <f t="shared" si="42"/>
        <v>0</v>
      </c>
      <c r="AR70" s="740">
        <f t="shared" si="43"/>
        <v>0</v>
      </c>
    </row>
    <row r="71" spans="1:50">
      <c r="A71" s="1190"/>
      <c r="B71" s="1191"/>
      <c r="C71" s="1192"/>
      <c r="D71" s="727"/>
      <c r="E71" s="727"/>
      <c r="F71" s="725">
        <f t="shared" si="44"/>
        <v>0</v>
      </c>
      <c r="G71" s="877"/>
      <c r="H71" s="998"/>
      <c r="I71" s="862"/>
      <c r="J71" s="739"/>
      <c r="K71" s="739"/>
      <c r="L71" s="739"/>
      <c r="M71" s="933">
        <f t="shared" si="23"/>
        <v>0</v>
      </c>
      <c r="N71" s="727"/>
      <c r="O71" s="727"/>
      <c r="P71" s="727"/>
      <c r="Q71" s="727"/>
      <c r="R71" s="727"/>
      <c r="S71" s="727"/>
      <c r="T71" s="727"/>
      <c r="U71" s="727"/>
      <c r="V71" s="727"/>
      <c r="W71" s="727"/>
      <c r="X71" s="740">
        <f t="shared" si="24"/>
        <v>0</v>
      </c>
      <c r="Y71" s="725">
        <f t="shared" si="25"/>
        <v>0</v>
      </c>
      <c r="Z71" s="1096"/>
      <c r="AA71" s="1108">
        <f t="shared" si="26"/>
        <v>0</v>
      </c>
      <c r="AB71" s="740">
        <f t="shared" si="27"/>
        <v>0</v>
      </c>
      <c r="AC71" s="740">
        <f t="shared" si="28"/>
        <v>0</v>
      </c>
      <c r="AD71" s="740">
        <f t="shared" si="29"/>
        <v>0</v>
      </c>
      <c r="AE71" s="1108">
        <f t="shared" si="30"/>
        <v>0</v>
      </c>
      <c r="AF71" s="740">
        <f t="shared" si="31"/>
        <v>0</v>
      </c>
      <c r="AG71" s="740">
        <f t="shared" si="32"/>
        <v>0</v>
      </c>
      <c r="AH71" s="740">
        <f t="shared" si="33"/>
        <v>0</v>
      </c>
      <c r="AI71" s="1108">
        <f t="shared" si="34"/>
        <v>0</v>
      </c>
      <c r="AJ71" s="740">
        <f t="shared" si="35"/>
        <v>0</v>
      </c>
      <c r="AK71" s="740">
        <f t="shared" si="36"/>
        <v>0</v>
      </c>
      <c r="AL71" s="740">
        <f t="shared" si="37"/>
        <v>0</v>
      </c>
      <c r="AM71" s="740">
        <f t="shared" si="38"/>
        <v>0</v>
      </c>
      <c r="AN71" s="1108">
        <f t="shared" si="39"/>
        <v>0</v>
      </c>
      <c r="AO71" s="740">
        <f t="shared" si="40"/>
        <v>0</v>
      </c>
      <c r="AP71" s="740">
        <f t="shared" si="41"/>
        <v>0</v>
      </c>
      <c r="AQ71" s="740">
        <f t="shared" si="42"/>
        <v>0</v>
      </c>
      <c r="AR71" s="740">
        <f t="shared" si="43"/>
        <v>0</v>
      </c>
    </row>
    <row r="72" spans="1:50">
      <c r="A72" s="1190"/>
      <c r="B72" s="1191"/>
      <c r="C72" s="1192"/>
      <c r="D72" s="727"/>
      <c r="E72" s="727"/>
      <c r="F72" s="725">
        <f t="shared" si="44"/>
        <v>0</v>
      </c>
      <c r="G72" s="877"/>
      <c r="H72" s="998"/>
      <c r="I72" s="862"/>
      <c r="J72" s="739"/>
      <c r="K72" s="739"/>
      <c r="L72" s="739"/>
      <c r="M72" s="933">
        <f t="shared" si="23"/>
        <v>0</v>
      </c>
      <c r="N72" s="727"/>
      <c r="O72" s="727"/>
      <c r="P72" s="727"/>
      <c r="Q72" s="727"/>
      <c r="R72" s="727"/>
      <c r="S72" s="727"/>
      <c r="T72" s="727"/>
      <c r="U72" s="727"/>
      <c r="V72" s="727"/>
      <c r="W72" s="727"/>
      <c r="X72" s="740">
        <f t="shared" si="24"/>
        <v>0</v>
      </c>
      <c r="Y72" s="725">
        <f t="shared" si="25"/>
        <v>0</v>
      </c>
      <c r="Z72" s="1096"/>
      <c r="AA72" s="1108">
        <f t="shared" si="26"/>
        <v>0</v>
      </c>
      <c r="AB72" s="740">
        <f t="shared" si="27"/>
        <v>0</v>
      </c>
      <c r="AC72" s="740">
        <f t="shared" si="28"/>
        <v>0</v>
      </c>
      <c r="AD72" s="740">
        <f t="shared" si="29"/>
        <v>0</v>
      </c>
      <c r="AE72" s="1108">
        <f t="shared" si="30"/>
        <v>0</v>
      </c>
      <c r="AF72" s="740">
        <f t="shared" si="31"/>
        <v>0</v>
      </c>
      <c r="AG72" s="740">
        <f t="shared" si="32"/>
        <v>0</v>
      </c>
      <c r="AH72" s="740">
        <f t="shared" si="33"/>
        <v>0</v>
      </c>
      <c r="AI72" s="1108">
        <f t="shared" si="34"/>
        <v>0</v>
      </c>
      <c r="AJ72" s="740">
        <f t="shared" si="35"/>
        <v>0</v>
      </c>
      <c r="AK72" s="740">
        <f t="shared" si="36"/>
        <v>0</v>
      </c>
      <c r="AL72" s="740">
        <f t="shared" si="37"/>
        <v>0</v>
      </c>
      <c r="AM72" s="740">
        <f t="shared" si="38"/>
        <v>0</v>
      </c>
      <c r="AN72" s="1108">
        <f t="shared" si="39"/>
        <v>0</v>
      </c>
      <c r="AO72" s="740">
        <f t="shared" si="40"/>
        <v>0</v>
      </c>
      <c r="AP72" s="740">
        <f t="shared" si="41"/>
        <v>0</v>
      </c>
      <c r="AQ72" s="740">
        <f t="shared" si="42"/>
        <v>0</v>
      </c>
      <c r="AR72" s="740">
        <f t="shared" si="43"/>
        <v>0</v>
      </c>
    </row>
    <row r="73" spans="1:50">
      <c r="A73" s="1190"/>
      <c r="B73" s="1191"/>
      <c r="C73" s="1192"/>
      <c r="D73" s="727"/>
      <c r="E73" s="727"/>
      <c r="F73" s="725">
        <f t="shared" si="44"/>
        <v>0</v>
      </c>
      <c r="G73" s="877"/>
      <c r="H73" s="998"/>
      <c r="I73" s="862"/>
      <c r="J73" s="739"/>
      <c r="K73" s="739"/>
      <c r="L73" s="739"/>
      <c r="M73" s="933">
        <f t="shared" si="23"/>
        <v>0</v>
      </c>
      <c r="N73" s="727"/>
      <c r="O73" s="727"/>
      <c r="P73" s="727"/>
      <c r="Q73" s="727"/>
      <c r="R73" s="727"/>
      <c r="S73" s="727"/>
      <c r="T73" s="727"/>
      <c r="U73" s="727"/>
      <c r="V73" s="727"/>
      <c r="W73" s="727"/>
      <c r="X73" s="740">
        <f t="shared" si="24"/>
        <v>0</v>
      </c>
      <c r="Y73" s="725">
        <f t="shared" si="25"/>
        <v>0</v>
      </c>
      <c r="Z73" s="1096"/>
      <c r="AA73" s="1108">
        <f t="shared" si="26"/>
        <v>0</v>
      </c>
      <c r="AB73" s="740">
        <f t="shared" si="27"/>
        <v>0</v>
      </c>
      <c r="AC73" s="740">
        <f t="shared" si="28"/>
        <v>0</v>
      </c>
      <c r="AD73" s="740">
        <f t="shared" si="29"/>
        <v>0</v>
      </c>
      <c r="AE73" s="1108">
        <f t="shared" si="30"/>
        <v>0</v>
      </c>
      <c r="AF73" s="740">
        <f t="shared" si="31"/>
        <v>0</v>
      </c>
      <c r="AG73" s="740">
        <f t="shared" si="32"/>
        <v>0</v>
      </c>
      <c r="AH73" s="740">
        <f t="shared" si="33"/>
        <v>0</v>
      </c>
      <c r="AI73" s="1108">
        <f t="shared" si="34"/>
        <v>0</v>
      </c>
      <c r="AJ73" s="740">
        <f t="shared" si="35"/>
        <v>0</v>
      </c>
      <c r="AK73" s="740">
        <f t="shared" si="36"/>
        <v>0</v>
      </c>
      <c r="AL73" s="740">
        <f t="shared" si="37"/>
        <v>0</v>
      </c>
      <c r="AM73" s="740">
        <f t="shared" si="38"/>
        <v>0</v>
      </c>
      <c r="AN73" s="1108">
        <f t="shared" si="39"/>
        <v>0</v>
      </c>
      <c r="AO73" s="740">
        <f t="shared" si="40"/>
        <v>0</v>
      </c>
      <c r="AP73" s="740">
        <f t="shared" si="41"/>
        <v>0</v>
      </c>
      <c r="AQ73" s="740">
        <f t="shared" si="42"/>
        <v>0</v>
      </c>
      <c r="AR73" s="740">
        <f t="shared" si="43"/>
        <v>0</v>
      </c>
    </row>
    <row r="74" spans="1:50">
      <c r="A74" s="1190"/>
      <c r="B74" s="1191"/>
      <c r="C74" s="1192"/>
      <c r="D74" s="727"/>
      <c r="E74" s="727"/>
      <c r="F74" s="725">
        <f t="shared" si="44"/>
        <v>0</v>
      </c>
      <c r="G74" s="877"/>
      <c r="H74" s="998"/>
      <c r="I74" s="862"/>
      <c r="J74" s="739"/>
      <c r="K74" s="739"/>
      <c r="L74" s="739"/>
      <c r="M74" s="933">
        <f t="shared" si="23"/>
        <v>0</v>
      </c>
      <c r="N74" s="727"/>
      <c r="O74" s="727"/>
      <c r="P74" s="727"/>
      <c r="Q74" s="727"/>
      <c r="R74" s="727"/>
      <c r="S74" s="727"/>
      <c r="T74" s="727"/>
      <c r="U74" s="727"/>
      <c r="V74" s="727"/>
      <c r="W74" s="727"/>
      <c r="X74" s="740">
        <f t="shared" si="24"/>
        <v>0</v>
      </c>
      <c r="Y74" s="725">
        <f t="shared" si="25"/>
        <v>0</v>
      </c>
      <c r="Z74" s="1096"/>
      <c r="AA74" s="1108">
        <f t="shared" si="26"/>
        <v>0</v>
      </c>
      <c r="AB74" s="740">
        <f t="shared" si="27"/>
        <v>0</v>
      </c>
      <c r="AC74" s="740">
        <f t="shared" si="28"/>
        <v>0</v>
      </c>
      <c r="AD74" s="740">
        <f t="shared" si="29"/>
        <v>0</v>
      </c>
      <c r="AE74" s="1108">
        <f t="shared" si="30"/>
        <v>0</v>
      </c>
      <c r="AF74" s="740">
        <f t="shared" si="31"/>
        <v>0</v>
      </c>
      <c r="AG74" s="740">
        <f t="shared" si="32"/>
        <v>0</v>
      </c>
      <c r="AH74" s="740">
        <f t="shared" si="33"/>
        <v>0</v>
      </c>
      <c r="AI74" s="1108">
        <f t="shared" si="34"/>
        <v>0</v>
      </c>
      <c r="AJ74" s="740">
        <f t="shared" si="35"/>
        <v>0</v>
      </c>
      <c r="AK74" s="740">
        <f t="shared" si="36"/>
        <v>0</v>
      </c>
      <c r="AL74" s="740">
        <f t="shared" si="37"/>
        <v>0</v>
      </c>
      <c r="AM74" s="740">
        <f t="shared" si="38"/>
        <v>0</v>
      </c>
      <c r="AN74" s="1108">
        <f t="shared" si="39"/>
        <v>0</v>
      </c>
      <c r="AO74" s="740">
        <f t="shared" si="40"/>
        <v>0</v>
      </c>
      <c r="AP74" s="740">
        <f t="shared" si="41"/>
        <v>0</v>
      </c>
      <c r="AQ74" s="740">
        <f t="shared" si="42"/>
        <v>0</v>
      </c>
      <c r="AR74" s="740">
        <f t="shared" si="43"/>
        <v>0</v>
      </c>
    </row>
    <row r="75" spans="1:50">
      <c r="A75" s="1190"/>
      <c r="B75" s="1191"/>
      <c r="C75" s="1192"/>
      <c r="D75" s="727"/>
      <c r="E75" s="727"/>
      <c r="F75" s="725">
        <f t="shared" si="44"/>
        <v>0</v>
      </c>
      <c r="G75" s="877"/>
      <c r="H75" s="998"/>
      <c r="I75" s="862"/>
      <c r="J75" s="739"/>
      <c r="K75" s="739"/>
      <c r="L75" s="739"/>
      <c r="M75" s="933">
        <f t="shared" si="23"/>
        <v>0</v>
      </c>
      <c r="N75" s="727"/>
      <c r="O75" s="727"/>
      <c r="P75" s="727"/>
      <c r="Q75" s="727"/>
      <c r="R75" s="727"/>
      <c r="S75" s="727"/>
      <c r="T75" s="727"/>
      <c r="U75" s="727"/>
      <c r="V75" s="727"/>
      <c r="W75" s="727"/>
      <c r="X75" s="740">
        <f t="shared" si="24"/>
        <v>0</v>
      </c>
      <c r="Y75" s="725">
        <f t="shared" si="25"/>
        <v>0</v>
      </c>
      <c r="Z75" s="1096"/>
      <c r="AA75" s="1108">
        <f t="shared" si="26"/>
        <v>0</v>
      </c>
      <c r="AB75" s="740">
        <f t="shared" si="27"/>
        <v>0</v>
      </c>
      <c r="AC75" s="740">
        <f t="shared" si="28"/>
        <v>0</v>
      </c>
      <c r="AD75" s="740">
        <f t="shared" si="29"/>
        <v>0</v>
      </c>
      <c r="AE75" s="1108">
        <f t="shared" si="30"/>
        <v>0</v>
      </c>
      <c r="AF75" s="740">
        <f t="shared" si="31"/>
        <v>0</v>
      </c>
      <c r="AG75" s="740">
        <f t="shared" si="32"/>
        <v>0</v>
      </c>
      <c r="AH75" s="740">
        <f t="shared" si="33"/>
        <v>0</v>
      </c>
      <c r="AI75" s="1108">
        <f t="shared" si="34"/>
        <v>0</v>
      </c>
      <c r="AJ75" s="740">
        <f t="shared" si="35"/>
        <v>0</v>
      </c>
      <c r="AK75" s="740">
        <f t="shared" si="36"/>
        <v>0</v>
      </c>
      <c r="AL75" s="740">
        <f t="shared" si="37"/>
        <v>0</v>
      </c>
      <c r="AM75" s="740">
        <f t="shared" si="38"/>
        <v>0</v>
      </c>
      <c r="AN75" s="1108">
        <f t="shared" si="39"/>
        <v>0</v>
      </c>
      <c r="AO75" s="740">
        <f t="shared" si="40"/>
        <v>0</v>
      </c>
      <c r="AP75" s="740">
        <f t="shared" si="41"/>
        <v>0</v>
      </c>
      <c r="AQ75" s="740">
        <f t="shared" si="42"/>
        <v>0</v>
      </c>
      <c r="AR75" s="740">
        <f t="shared" si="43"/>
        <v>0</v>
      </c>
    </row>
    <row r="76" spans="1:50">
      <c r="A76" s="1190"/>
      <c r="B76" s="1191"/>
      <c r="C76" s="1192"/>
      <c r="D76" s="727"/>
      <c r="E76" s="727"/>
      <c r="F76" s="725">
        <f t="shared" si="44"/>
        <v>0</v>
      </c>
      <c r="G76" s="877"/>
      <c r="H76" s="998"/>
      <c r="I76" s="862"/>
      <c r="J76" s="739"/>
      <c r="K76" s="739"/>
      <c r="L76" s="739"/>
      <c r="M76" s="933">
        <f t="shared" si="23"/>
        <v>0</v>
      </c>
      <c r="N76" s="727"/>
      <c r="O76" s="727"/>
      <c r="P76" s="727"/>
      <c r="Q76" s="727"/>
      <c r="R76" s="727"/>
      <c r="S76" s="727"/>
      <c r="T76" s="727"/>
      <c r="U76" s="727"/>
      <c r="V76" s="727"/>
      <c r="W76" s="727"/>
      <c r="X76" s="740">
        <f t="shared" si="24"/>
        <v>0</v>
      </c>
      <c r="Y76" s="725">
        <f t="shared" si="25"/>
        <v>0</v>
      </c>
      <c r="Z76" s="1096"/>
      <c r="AA76" s="1108">
        <f t="shared" si="26"/>
        <v>0</v>
      </c>
      <c r="AB76" s="740">
        <f t="shared" si="27"/>
        <v>0</v>
      </c>
      <c r="AC76" s="740">
        <f t="shared" si="28"/>
        <v>0</v>
      </c>
      <c r="AD76" s="740">
        <f t="shared" si="29"/>
        <v>0</v>
      </c>
      <c r="AE76" s="1108">
        <f t="shared" si="30"/>
        <v>0</v>
      </c>
      <c r="AF76" s="740">
        <f t="shared" si="31"/>
        <v>0</v>
      </c>
      <c r="AG76" s="740">
        <f t="shared" si="32"/>
        <v>0</v>
      </c>
      <c r="AH76" s="740">
        <f t="shared" si="33"/>
        <v>0</v>
      </c>
      <c r="AI76" s="1108">
        <f t="shared" si="34"/>
        <v>0</v>
      </c>
      <c r="AJ76" s="740">
        <f t="shared" si="35"/>
        <v>0</v>
      </c>
      <c r="AK76" s="740">
        <f t="shared" si="36"/>
        <v>0</v>
      </c>
      <c r="AL76" s="740">
        <f t="shared" si="37"/>
        <v>0</v>
      </c>
      <c r="AM76" s="740">
        <f t="shared" si="38"/>
        <v>0</v>
      </c>
      <c r="AN76" s="1108">
        <f t="shared" si="39"/>
        <v>0</v>
      </c>
      <c r="AO76" s="740">
        <f t="shared" si="40"/>
        <v>0</v>
      </c>
      <c r="AP76" s="740">
        <f t="shared" si="41"/>
        <v>0</v>
      </c>
      <c r="AQ76" s="740">
        <f t="shared" si="42"/>
        <v>0</v>
      </c>
      <c r="AR76" s="740">
        <f t="shared" si="43"/>
        <v>0</v>
      </c>
    </row>
    <row r="77" spans="1:50">
      <c r="A77" s="1190"/>
      <c r="B77" s="1191"/>
      <c r="C77" s="1192"/>
      <c r="D77" s="727"/>
      <c r="E77" s="727"/>
      <c r="F77" s="725">
        <f t="shared" si="44"/>
        <v>0</v>
      </c>
      <c r="G77" s="877"/>
      <c r="H77" s="998"/>
      <c r="I77" s="862"/>
      <c r="J77" s="739"/>
      <c r="K77" s="739"/>
      <c r="L77" s="739"/>
      <c r="M77" s="933">
        <f t="shared" si="23"/>
        <v>0</v>
      </c>
      <c r="N77" s="727"/>
      <c r="O77" s="727"/>
      <c r="P77" s="727"/>
      <c r="Q77" s="727"/>
      <c r="R77" s="727"/>
      <c r="S77" s="727"/>
      <c r="T77" s="727"/>
      <c r="U77" s="727"/>
      <c r="V77" s="727"/>
      <c r="W77" s="727"/>
      <c r="X77" s="740">
        <f t="shared" si="24"/>
        <v>0</v>
      </c>
      <c r="Y77" s="725">
        <f t="shared" si="25"/>
        <v>0</v>
      </c>
      <c r="Z77" s="1096"/>
      <c r="AA77" s="1108">
        <f t="shared" si="26"/>
        <v>0</v>
      </c>
      <c r="AB77" s="740">
        <f t="shared" si="27"/>
        <v>0</v>
      </c>
      <c r="AC77" s="740">
        <f t="shared" si="28"/>
        <v>0</v>
      </c>
      <c r="AD77" s="740">
        <f t="shared" si="29"/>
        <v>0</v>
      </c>
      <c r="AE77" s="1108">
        <f t="shared" si="30"/>
        <v>0</v>
      </c>
      <c r="AF77" s="740">
        <f t="shared" si="31"/>
        <v>0</v>
      </c>
      <c r="AG77" s="740">
        <f t="shared" si="32"/>
        <v>0</v>
      </c>
      <c r="AH77" s="740">
        <f t="shared" si="33"/>
        <v>0</v>
      </c>
      <c r="AI77" s="1108">
        <f t="shared" si="34"/>
        <v>0</v>
      </c>
      <c r="AJ77" s="740">
        <f t="shared" si="35"/>
        <v>0</v>
      </c>
      <c r="AK77" s="740">
        <f t="shared" si="36"/>
        <v>0</v>
      </c>
      <c r="AL77" s="740">
        <f t="shared" si="37"/>
        <v>0</v>
      </c>
      <c r="AM77" s="740">
        <f t="shared" si="38"/>
        <v>0</v>
      </c>
      <c r="AN77" s="1108">
        <f t="shared" si="39"/>
        <v>0</v>
      </c>
      <c r="AO77" s="740">
        <f t="shared" si="40"/>
        <v>0</v>
      </c>
      <c r="AP77" s="740">
        <f t="shared" si="41"/>
        <v>0</v>
      </c>
      <c r="AQ77" s="740">
        <f t="shared" si="42"/>
        <v>0</v>
      </c>
      <c r="AR77" s="740">
        <f t="shared" si="43"/>
        <v>0</v>
      </c>
    </row>
    <row r="78" spans="1:50">
      <c r="A78" s="1190"/>
      <c r="B78" s="1191"/>
      <c r="C78" s="1192"/>
      <c r="D78" s="727"/>
      <c r="E78" s="727"/>
      <c r="F78" s="725">
        <f t="shared" si="44"/>
        <v>0</v>
      </c>
      <c r="G78" s="877"/>
      <c r="H78" s="998"/>
      <c r="I78" s="862"/>
      <c r="J78" s="739"/>
      <c r="K78" s="739"/>
      <c r="L78" s="739"/>
      <c r="M78" s="933">
        <f t="shared" si="23"/>
        <v>0</v>
      </c>
      <c r="N78" s="727"/>
      <c r="O78" s="727"/>
      <c r="P78" s="727"/>
      <c r="Q78" s="727"/>
      <c r="R78" s="727"/>
      <c r="S78" s="727"/>
      <c r="T78" s="727"/>
      <c r="U78" s="727"/>
      <c r="V78" s="727"/>
      <c r="W78" s="727"/>
      <c r="X78" s="740">
        <f t="shared" si="24"/>
        <v>0</v>
      </c>
      <c r="Y78" s="725">
        <f t="shared" si="25"/>
        <v>0</v>
      </c>
      <c r="Z78" s="1096"/>
      <c r="AA78" s="1108">
        <f t="shared" si="26"/>
        <v>0</v>
      </c>
      <c r="AB78" s="740">
        <f t="shared" si="27"/>
        <v>0</v>
      </c>
      <c r="AC78" s="740">
        <f t="shared" si="28"/>
        <v>0</v>
      </c>
      <c r="AD78" s="740">
        <f t="shared" si="29"/>
        <v>0</v>
      </c>
      <c r="AE78" s="1108">
        <f t="shared" si="30"/>
        <v>0</v>
      </c>
      <c r="AF78" s="740">
        <f t="shared" si="31"/>
        <v>0</v>
      </c>
      <c r="AG78" s="740">
        <f t="shared" si="32"/>
        <v>0</v>
      </c>
      <c r="AH78" s="740">
        <f t="shared" si="33"/>
        <v>0</v>
      </c>
      <c r="AI78" s="1108">
        <f t="shared" si="34"/>
        <v>0</v>
      </c>
      <c r="AJ78" s="740">
        <f t="shared" si="35"/>
        <v>0</v>
      </c>
      <c r="AK78" s="740">
        <f t="shared" si="36"/>
        <v>0</v>
      </c>
      <c r="AL78" s="740">
        <f t="shared" si="37"/>
        <v>0</v>
      </c>
      <c r="AM78" s="740">
        <f t="shared" si="38"/>
        <v>0</v>
      </c>
      <c r="AN78" s="1108">
        <f t="shared" si="39"/>
        <v>0</v>
      </c>
      <c r="AO78" s="740">
        <f t="shared" si="40"/>
        <v>0</v>
      </c>
      <c r="AP78" s="740">
        <f t="shared" si="41"/>
        <v>0</v>
      </c>
      <c r="AQ78" s="740">
        <f t="shared" si="42"/>
        <v>0</v>
      </c>
      <c r="AR78" s="740">
        <f t="shared" si="43"/>
        <v>0</v>
      </c>
    </row>
    <row r="79" spans="1:50">
      <c r="A79" s="1190"/>
      <c r="B79" s="1191"/>
      <c r="C79" s="1192"/>
      <c r="D79" s="727"/>
      <c r="E79" s="727"/>
      <c r="F79" s="725">
        <f t="shared" si="44"/>
        <v>0</v>
      </c>
      <c r="G79" s="877"/>
      <c r="H79" s="998"/>
      <c r="I79" s="862"/>
      <c r="J79" s="739"/>
      <c r="K79" s="739"/>
      <c r="L79" s="739"/>
      <c r="M79" s="933">
        <f t="shared" si="23"/>
        <v>0</v>
      </c>
      <c r="N79" s="727"/>
      <c r="O79" s="727"/>
      <c r="P79" s="727"/>
      <c r="Q79" s="727"/>
      <c r="R79" s="727"/>
      <c r="S79" s="727"/>
      <c r="T79" s="727"/>
      <c r="U79" s="727"/>
      <c r="V79" s="727"/>
      <c r="W79" s="727"/>
      <c r="X79" s="740">
        <f t="shared" si="24"/>
        <v>0</v>
      </c>
      <c r="Y79" s="725">
        <f t="shared" si="25"/>
        <v>0</v>
      </c>
      <c r="Z79" s="1096"/>
      <c r="AA79" s="1108">
        <f t="shared" si="26"/>
        <v>0</v>
      </c>
      <c r="AB79" s="740">
        <f t="shared" si="27"/>
        <v>0</v>
      </c>
      <c r="AC79" s="740">
        <f t="shared" si="28"/>
        <v>0</v>
      </c>
      <c r="AD79" s="740">
        <f t="shared" si="29"/>
        <v>0</v>
      </c>
      <c r="AE79" s="1108">
        <f t="shared" si="30"/>
        <v>0</v>
      </c>
      <c r="AF79" s="740">
        <f t="shared" si="31"/>
        <v>0</v>
      </c>
      <c r="AG79" s="740">
        <f t="shared" si="32"/>
        <v>0</v>
      </c>
      <c r="AH79" s="740">
        <f t="shared" si="33"/>
        <v>0</v>
      </c>
      <c r="AI79" s="1108">
        <f t="shared" si="34"/>
        <v>0</v>
      </c>
      <c r="AJ79" s="740">
        <f t="shared" si="35"/>
        <v>0</v>
      </c>
      <c r="AK79" s="740">
        <f t="shared" si="36"/>
        <v>0</v>
      </c>
      <c r="AL79" s="740">
        <f t="shared" si="37"/>
        <v>0</v>
      </c>
      <c r="AM79" s="740">
        <f t="shared" si="38"/>
        <v>0</v>
      </c>
      <c r="AN79" s="1108">
        <f t="shared" si="39"/>
        <v>0</v>
      </c>
      <c r="AO79" s="740">
        <f t="shared" si="40"/>
        <v>0</v>
      </c>
      <c r="AP79" s="740">
        <f t="shared" si="41"/>
        <v>0</v>
      </c>
      <c r="AQ79" s="740">
        <f t="shared" si="42"/>
        <v>0</v>
      </c>
      <c r="AR79" s="740">
        <f t="shared" si="43"/>
        <v>0</v>
      </c>
    </row>
    <row r="80" spans="1:50" ht="13.5" thickBot="1">
      <c r="A80" s="1196"/>
      <c r="B80" s="1197"/>
      <c r="C80" s="1198"/>
      <c r="D80" s="1053"/>
      <c r="E80" s="1053"/>
      <c r="F80" s="730">
        <f t="shared" si="44"/>
        <v>0</v>
      </c>
      <c r="G80" s="877"/>
      <c r="H80" s="998"/>
      <c r="I80" s="862"/>
      <c r="J80" s="739"/>
      <c r="K80" s="739"/>
      <c r="L80" s="739"/>
      <c r="M80" s="933">
        <f t="shared" si="23"/>
        <v>0</v>
      </c>
      <c r="N80" s="727"/>
      <c r="O80" s="727"/>
      <c r="P80" s="727"/>
      <c r="Q80" s="727"/>
      <c r="R80" s="727"/>
      <c r="S80" s="727"/>
      <c r="T80" s="727"/>
      <c r="U80" s="727"/>
      <c r="V80" s="727"/>
      <c r="W80" s="727"/>
      <c r="X80" s="740">
        <f t="shared" si="24"/>
        <v>0</v>
      </c>
      <c r="Y80" s="730">
        <f>IF(ISERROR(X80/I80),0,(X80/I80))</f>
        <v>0</v>
      </c>
      <c r="Z80" s="1096"/>
      <c r="AA80" s="1108">
        <f t="shared" si="26"/>
        <v>0</v>
      </c>
      <c r="AB80" s="740">
        <f t="shared" si="27"/>
        <v>0</v>
      </c>
      <c r="AC80" s="740">
        <f t="shared" si="28"/>
        <v>0</v>
      </c>
      <c r="AD80" s="740">
        <f t="shared" si="29"/>
        <v>0</v>
      </c>
      <c r="AE80" s="1108">
        <f t="shared" si="30"/>
        <v>0</v>
      </c>
      <c r="AF80" s="740">
        <f t="shared" si="31"/>
        <v>0</v>
      </c>
      <c r="AG80" s="740">
        <f t="shared" si="32"/>
        <v>0</v>
      </c>
      <c r="AH80" s="740">
        <f t="shared" si="33"/>
        <v>0</v>
      </c>
      <c r="AI80" s="1108">
        <f t="shared" si="34"/>
        <v>0</v>
      </c>
      <c r="AJ80" s="740">
        <f t="shared" si="35"/>
        <v>0</v>
      </c>
      <c r="AK80" s="740">
        <f t="shared" si="36"/>
        <v>0</v>
      </c>
      <c r="AL80" s="740">
        <f t="shared" si="37"/>
        <v>0</v>
      </c>
      <c r="AM80" s="740">
        <f t="shared" si="38"/>
        <v>0</v>
      </c>
      <c r="AN80" s="1108">
        <f t="shared" si="39"/>
        <v>0</v>
      </c>
      <c r="AO80" s="740">
        <f t="shared" si="40"/>
        <v>0</v>
      </c>
      <c r="AP80" s="740">
        <f t="shared" si="41"/>
        <v>0</v>
      </c>
      <c r="AQ80" s="740">
        <f t="shared" si="42"/>
        <v>0</v>
      </c>
      <c r="AR80" s="740">
        <f t="shared" si="43"/>
        <v>0</v>
      </c>
    </row>
    <row r="81" spans="1:44" ht="15" customHeight="1" thickBot="1">
      <c r="A81" s="741" t="s">
        <v>471</v>
      </c>
      <c r="B81" s="741"/>
      <c r="C81" s="866">
        <f>IF(ISERROR(SUM(C52:C80)),0,(SUM(C52:C80)))</f>
        <v>0</v>
      </c>
      <c r="D81" s="1172">
        <f>IF(ISERROR(SUM(D52:D80)/C81),0,((SUM(D52:D80)/C81)))</f>
        <v>0</v>
      </c>
      <c r="E81" s="742">
        <f>SUM(E52:E80)</f>
        <v>0</v>
      </c>
      <c r="F81" s="736">
        <f>IFERROR(E81/C81,0)</f>
        <v>0</v>
      </c>
      <c r="G81" s="756"/>
      <c r="H81" s="756"/>
      <c r="I81" s="868">
        <f>SUM(I52:I80)</f>
        <v>0</v>
      </c>
      <c r="J81" s="1433"/>
      <c r="K81" s="1434"/>
      <c r="L81" s="1435"/>
      <c r="M81" s="735">
        <f>IF(ISERROR(SUM(M52:M80)/I81),0,(SUM(M52:M80)/I81))</f>
        <v>0</v>
      </c>
      <c r="N81" s="735">
        <f>IF(ISERROR(SUM(N52:N80)/I81),0,(SUM(N52:N80)/I81))</f>
        <v>0</v>
      </c>
      <c r="O81" s="735">
        <f>IF(ISERROR(SUM(O52:O80)/I81),0,(SUM(O52:O80)/I81))</f>
        <v>0</v>
      </c>
      <c r="P81" s="735">
        <f>IF(ISERROR(SUM(P52:P80)/I81),0,(SUM(P52:P80)/I81))</f>
        <v>0</v>
      </c>
      <c r="Q81" s="735">
        <f>IF(ISERROR(SUM(Q52:Q80)/I81),0,(SUM(Q52:Q80)/I81))</f>
        <v>0</v>
      </c>
      <c r="R81" s="735">
        <f>IF(ISERROR(SUM(R52:R80)/I81),0,(SUM(R52:R80)/I81))</f>
        <v>0</v>
      </c>
      <c r="S81" s="735">
        <f>IF(ISERROR(SUM(S52:S80)/I81),0,(SUM(S52:S80)/I81))</f>
        <v>0</v>
      </c>
      <c r="T81" s="735">
        <f>IF(ISERROR(SUM(T52:T80)/I81),0,(SUM(T52:T80)/I81))</f>
        <v>0</v>
      </c>
      <c r="U81" s="735">
        <f>IF(ISERROR(SUM(U52:U80)/I81),0,(SUM(U52:U80)/I81))</f>
        <v>0</v>
      </c>
      <c r="V81" s="735">
        <f>IF(ISERROR(SUM(V52:V80)/I81),0,(SUM(V52:V80)/I81))</f>
        <v>0</v>
      </c>
      <c r="W81" s="735">
        <f>IF(ISERROR(SUM(W52:W80)/I81),0,(SUM(W52:W80)/I81))</f>
        <v>0</v>
      </c>
      <c r="X81" s="735">
        <f>SUM(X52:X80)</f>
        <v>0</v>
      </c>
      <c r="Y81" s="736">
        <f>IFERROR(SUM(X81/I81),0)</f>
        <v>0</v>
      </c>
      <c r="Z81" s="1097"/>
      <c r="AA81" s="1011"/>
      <c r="AB81" s="1011"/>
      <c r="AC81" s="1011"/>
      <c r="AD81" s="1011"/>
      <c r="AE81" s="1011"/>
      <c r="AF81" s="1011"/>
      <c r="AG81" s="1011"/>
      <c r="AH81" s="1011"/>
      <c r="AI81" s="1011"/>
      <c r="AJ81" s="1011"/>
      <c r="AK81" s="1011"/>
      <c r="AL81" s="1011"/>
      <c r="AM81" s="1011"/>
      <c r="AN81" s="1011"/>
      <c r="AO81" s="1011"/>
      <c r="AP81" s="1011"/>
      <c r="AQ81" s="1011"/>
      <c r="AR81" s="1011"/>
    </row>
    <row r="82" spans="1:44" ht="13.5" thickBot="1">
      <c r="C82" s="875"/>
      <c r="D82" s="1173"/>
      <c r="E82" s="743"/>
      <c r="F82" s="744"/>
      <c r="G82" s="745"/>
      <c r="H82" s="745"/>
      <c r="I82" s="874"/>
      <c r="J82" s="745"/>
      <c r="K82" s="745"/>
      <c r="L82" s="745"/>
      <c r="M82" s="746"/>
      <c r="N82" s="746"/>
      <c r="O82" s="746"/>
      <c r="P82" s="746"/>
      <c r="Q82" s="746"/>
      <c r="R82" s="746"/>
      <c r="S82" s="746"/>
      <c r="T82" s="746"/>
      <c r="U82" s="746"/>
      <c r="V82" s="746"/>
      <c r="W82" s="746"/>
      <c r="X82" s="756" t="s">
        <v>506</v>
      </c>
      <c r="Y82" s="801" t="str">
        <f>IFERROR(Y81*100/F81-100,"")</f>
        <v/>
      </c>
      <c r="Z82" s="1099"/>
      <c r="AA82" s="1012"/>
      <c r="AB82" s="1012"/>
      <c r="AC82" s="1012"/>
      <c r="AD82" s="1012"/>
      <c r="AE82" s="1012"/>
      <c r="AF82" s="1012"/>
      <c r="AG82" s="1012"/>
      <c r="AH82" s="1012"/>
      <c r="AI82" s="1012"/>
      <c r="AJ82" s="1012"/>
      <c r="AK82" s="1012"/>
      <c r="AL82" s="1012"/>
      <c r="AM82" s="1012"/>
      <c r="AN82" s="1012"/>
      <c r="AO82" s="1012"/>
      <c r="AP82" s="1012"/>
      <c r="AQ82" s="1012"/>
      <c r="AR82" s="1012"/>
    </row>
    <row r="83" spans="1:44" ht="7.5" customHeight="1" thickBot="1">
      <c r="C83" s="875"/>
      <c r="D83" s="1174"/>
      <c r="E83" s="743"/>
      <c r="F83" s="749"/>
      <c r="G83" s="745"/>
      <c r="H83" s="745"/>
      <c r="I83" s="874"/>
      <c r="J83" s="745"/>
      <c r="K83" s="745"/>
      <c r="L83" s="745"/>
      <c r="M83" s="746"/>
      <c r="N83" s="746"/>
      <c r="O83" s="746"/>
      <c r="P83" s="746"/>
      <c r="Q83" s="746"/>
      <c r="R83" s="746"/>
      <c r="S83" s="746"/>
      <c r="T83" s="746"/>
      <c r="U83" s="746"/>
      <c r="V83" s="746"/>
      <c r="W83" s="746"/>
      <c r="X83" s="748"/>
      <c r="Y83" s="747"/>
      <c r="Z83" s="1092"/>
    </row>
    <row r="84" spans="1:44" ht="13.5" thickBot="1">
      <c r="A84" s="315" t="s">
        <v>472</v>
      </c>
      <c r="B84" s="315"/>
      <c r="C84" s="867">
        <f>IF(ISERROR(C81+C49),0,(C81+C49))</f>
        <v>0</v>
      </c>
      <c r="D84" s="944">
        <f>IF(ISERROR(((D49*C49)+(D81*C81))/C84),0,(((D49*C49)+(D81*C81))/C84))</f>
        <v>0</v>
      </c>
      <c r="E84" s="924"/>
      <c r="F84" s="736">
        <f>IF(ISERROR(SUM(E22:E48,E52:E80)/C84),0,(SUM(E22:E48,E52:E80)/C84))</f>
        <v>0</v>
      </c>
      <c r="G84" s="1032" t="s">
        <v>472</v>
      </c>
      <c r="H84" s="855"/>
      <c r="I84" s="919">
        <f>I81+I49</f>
        <v>0</v>
      </c>
      <c r="J84" s="924"/>
      <c r="K84" s="924"/>
      <c r="L84" s="924"/>
      <c r="M84" s="750" t="str">
        <f>IF(ISERROR(((M49*I49)+(M81*I81))/I84),"",(((M49*I49)+(M81*I81))/I84))</f>
        <v/>
      </c>
      <c r="N84" s="1104">
        <f>IF(ISERROR(((N49*I49)+(N81*I81))/I84),0,(((N49*I49)+(N81*I81))/I84))</f>
        <v>0</v>
      </c>
      <c r="O84" s="1104">
        <f>IF(ISERROR(((O49*I49)+(O81*I81))/I84),0,(((O49*I49)+(O81*I81))/I84))</f>
        <v>0</v>
      </c>
      <c r="P84" s="1106">
        <f>IF(ISERROR(((P49*I49)+(P81*I81))/I84),0,(((P49*I49)+(P81*I81))/I84))</f>
        <v>0</v>
      </c>
      <c r="Q84" s="750">
        <f>IF(ISERROR(((Q49*I49)+(Q81*I81))/I84),0,(((Q49*I49)+(Q81*I81))/I84))</f>
        <v>0</v>
      </c>
      <c r="R84" s="1106">
        <f>IF(ISERROR(((R49*I49)+(R81*I81))/I84),0,(((R49*I49)+(R81*I81))/I84))</f>
        <v>0</v>
      </c>
      <c r="S84" s="750">
        <f>IF(ISERROR(((S49*I49)+(S81*I81))/I84),0,(((S49*I49)+(S81*I81))/I84))</f>
        <v>0</v>
      </c>
      <c r="T84" s="1106">
        <f>IF(ISERROR(((T49*I49)+(T81*I81))/I84),0,(((T49*I49)+(T81*I81))/I84))</f>
        <v>0</v>
      </c>
      <c r="U84" s="1106">
        <f>IF(ISERROR(((U49*I49)+(U81*I81))/I84),0,(((U49*I49)+(U81*I81))/I84))</f>
        <v>0</v>
      </c>
      <c r="V84" s="750">
        <f>IF(ISERROR(((V49*J49)+(V81*J81))/I84),0,(((V49*J49)+(V81*J81))/I84))</f>
        <v>0</v>
      </c>
      <c r="W84" s="1106">
        <f>IF(ISERROR(((W49*K49)+(W81*K81))/I84),0,(((W49*K49)+(W81*K81))/I84))</f>
        <v>0</v>
      </c>
      <c r="X84" s="1105">
        <f>X81+X49</f>
        <v>0</v>
      </c>
      <c r="Y84" s="751">
        <f>IFERROR(X84/I84,0)</f>
        <v>0</v>
      </c>
      <c r="Z84" s="1097"/>
      <c r="AA84" s="1011"/>
      <c r="AB84" s="1011"/>
      <c r="AC84" s="1011"/>
      <c r="AD84" s="1011"/>
      <c r="AE84" s="1011"/>
      <c r="AF84" s="1011"/>
      <c r="AG84" s="1011"/>
      <c r="AH84" s="1011"/>
      <c r="AI84" s="1011"/>
      <c r="AJ84" s="1011"/>
      <c r="AK84" s="1011"/>
      <c r="AL84" s="1011"/>
      <c r="AM84" s="1011"/>
      <c r="AN84" s="1011"/>
      <c r="AO84" s="1011"/>
      <c r="AP84" s="1011"/>
      <c r="AQ84" s="1011"/>
      <c r="AR84" s="1011"/>
    </row>
    <row r="85" spans="1:44" ht="13.5" thickBot="1">
      <c r="D85" s="934"/>
      <c r="E85" s="934"/>
      <c r="I85" s="923">
        <f>IF(ISERROR(I49*100/I84),0,(I49*100/I84))</f>
        <v>0</v>
      </c>
      <c r="J85" s="752" t="s">
        <v>473</v>
      </c>
      <c r="K85" s="747"/>
      <c r="X85" s="721"/>
      <c r="Y85" s="747"/>
      <c r="Z85" s="1092"/>
    </row>
    <row r="86" spans="1:44" ht="13.5" thickBot="1">
      <c r="A86" s="315" t="s">
        <v>474</v>
      </c>
      <c r="B86" s="315"/>
      <c r="D86" s="934"/>
      <c r="E86" s="934"/>
      <c r="G86" s="315" t="s">
        <v>474</v>
      </c>
      <c r="Z86" s="1092"/>
    </row>
    <row r="87" spans="1:44">
      <c r="A87" s="1187"/>
      <c r="B87" s="1188"/>
      <c r="C87" s="1189"/>
      <c r="D87" s="1039"/>
      <c r="E87" s="1039"/>
      <c r="F87" s="722">
        <f>IF(ISERROR(E87/C87),0,(E87/C87))</f>
        <v>0</v>
      </c>
      <c r="G87" s="1043"/>
      <c r="H87" s="1044"/>
      <c r="I87" s="1045"/>
      <c r="J87" s="1046"/>
      <c r="K87" s="1046"/>
      <c r="L87" s="1046"/>
      <c r="M87" s="1038">
        <f t="shared" ref="M87" si="45">IFERROR(L87*I87,"")</f>
        <v>0</v>
      </c>
      <c r="N87" s="1039"/>
      <c r="O87" s="1039"/>
      <c r="P87" s="1039"/>
      <c r="Q87" s="1039"/>
      <c r="R87" s="1039"/>
      <c r="S87" s="1047"/>
      <c r="T87" s="1047"/>
      <c r="U87" s="1039"/>
      <c r="V87" s="1039"/>
      <c r="W87" s="1039"/>
      <c r="X87" s="1040">
        <f t="shared" ref="X87:X91" si="46">IFERROR(IF(G87&lt;&gt;"GfB",(SUM(M87:P87,R87,V87)*12+(T87+U87))*(100+$P$12+$P$13)%+((Q87+S87+W87)*12),(SUM(M87:P87,R87,V87)*12+(T87+U87))*(100+$P$15+$P$13)%+((Q87+S87+W87)*12)),0)</f>
        <v>0</v>
      </c>
      <c r="Y87" s="722">
        <f>IF(ISERROR(X87/I87),0,(X87/I87))</f>
        <v>0</v>
      </c>
      <c r="Z87" s="1096"/>
      <c r="AA87" s="1108">
        <f t="shared" ref="AA87:AA91" si="47">IF(AND($H87="PFK/BFK",$I87&gt;0,$L87&gt;0),($M87+$N87),0)</f>
        <v>0</v>
      </c>
      <c r="AB87" s="740">
        <f t="shared" ref="AB87:AB91" si="48">IF(AND($H87="PFK/BFK",$I87&gt;0,$L87&gt;0),$O87,0)</f>
        <v>0</v>
      </c>
      <c r="AC87" s="740">
        <f t="shared" ref="AC87:AC91" si="49">IF(AND($H87="PFK/BFK",$I87&gt;0,$L87&gt;0),($P87+$Q87),0)</f>
        <v>0</v>
      </c>
      <c r="AD87" s="740">
        <f t="shared" ref="AD87:AD91" si="50">IF(AND($H87="PFK/BFK",$I87&gt;0,$L87&gt;0),(($T87+$U87)/12),0)</f>
        <v>0</v>
      </c>
      <c r="AE87" s="1108">
        <f t="shared" ref="AE87:AE91" si="51">IF(AND($H87="PK/BK",$I87&gt;0,$L87&gt;0),($M87+$N87),0)</f>
        <v>0</v>
      </c>
      <c r="AF87" s="740">
        <f t="shared" ref="AF87:AF91" si="52">IF(AND($H87="PK/BK",$I87&gt;0,$L87&gt;0),$O87,0)</f>
        <v>0</v>
      </c>
      <c r="AG87" s="740">
        <f t="shared" ref="AG87:AG91" si="53">IF(AND($H87="PK/BK",$I87&gt;0,$L87&gt;0),($P87+$Q87),0)</f>
        <v>0</v>
      </c>
      <c r="AH87" s="740">
        <f t="shared" ref="AH87:AH91" si="54">IF(AND($H87="PK/BK",$I87&gt;0,$L87&gt;0),(($T87+$U87)/12),0)</f>
        <v>0</v>
      </c>
      <c r="AI87" s="1108">
        <f t="shared" ref="AI87:AI91" si="55">IF(AND($H87="PK/BK o.",$I87&gt;0,$L87&gt;0),($M87+$N87),0)</f>
        <v>0</v>
      </c>
      <c r="AJ87" s="740">
        <f t="shared" ref="AJ87:AJ91" si="56">IF(AND($H87="PK/BK o.",$I87&gt;0,$L87&gt;0),$O87,0)</f>
        <v>0</v>
      </c>
      <c r="AK87" s="740">
        <f t="shared" ref="AK87:AK91" si="57">IF(AND($H87="PK/BK o.",$I87&gt;0,$L87&gt;0),($P87+$Q87),0)</f>
        <v>0</v>
      </c>
      <c r="AL87" s="740">
        <f t="shared" ref="AL87:AL91" si="58">IF(AND($H87="PK/BK o.",$I87&gt;0,$L87&gt;0),(($T87+$U87)/12),0)</f>
        <v>0</v>
      </c>
      <c r="AM87" s="740">
        <f t="shared" ref="AM87:AM91" si="59">IF(AND($H87="PFK/BFK",$I87&gt;0,$L87&gt;0),$I87,0)</f>
        <v>0</v>
      </c>
      <c r="AN87" s="1108">
        <f t="shared" ref="AN87:AN91" si="60">IF(AND($H87="PK/BK",$I87&gt;0,$L87&gt;0),$I87,0)</f>
        <v>0</v>
      </c>
      <c r="AO87" s="740">
        <f t="shared" ref="AO87:AO91" si="61">IF(AND($H87="PK/BK o.",$I87&gt;0,$L87&gt;0),$I87,0)</f>
        <v>0</v>
      </c>
      <c r="AP87" s="740">
        <f t="shared" ref="AP87:AP91" si="62">IF(AND($H87="PFK/BFK",$I87&gt;0,$L87&gt;0),$X87,0)</f>
        <v>0</v>
      </c>
      <c r="AQ87" s="740">
        <f t="shared" ref="AQ87:AQ91" si="63">IF(AND($H87="PK/BK",$I87&gt;0,$L87&gt;0),$X87,0)</f>
        <v>0</v>
      </c>
      <c r="AR87" s="740">
        <f t="shared" ref="AR87:AR91" si="64">IF(AND($H87="PK/BK o.",$I87&gt;0,$L87&gt;0),$X87,0)</f>
        <v>0</v>
      </c>
    </row>
    <row r="88" spans="1:44">
      <c r="A88" s="1190"/>
      <c r="B88" s="1191"/>
      <c r="C88" s="1192"/>
      <c r="D88" s="727"/>
      <c r="E88" s="727"/>
      <c r="F88" s="725">
        <f t="shared" ref="F88:F91" si="65">IF(ISERROR(E88/C88),0,(E88/C88))</f>
        <v>0</v>
      </c>
      <c r="G88" s="877"/>
      <c r="H88" s="998"/>
      <c r="I88" s="862"/>
      <c r="J88" s="739"/>
      <c r="K88" s="739"/>
      <c r="L88" s="739"/>
      <c r="M88" s="933">
        <f t="shared" ref="M88:M91" si="66">IFERROR(L88*I88,"")</f>
        <v>0</v>
      </c>
      <c r="N88" s="727"/>
      <c r="O88" s="727"/>
      <c r="P88" s="727"/>
      <c r="Q88" s="727"/>
      <c r="R88" s="727"/>
      <c r="S88" s="906"/>
      <c r="T88" s="906"/>
      <c r="U88" s="727"/>
      <c r="V88" s="727"/>
      <c r="W88" s="727"/>
      <c r="X88" s="740">
        <f t="shared" si="46"/>
        <v>0</v>
      </c>
      <c r="Y88" s="725">
        <f t="shared" ref="Y88:Y90" si="67">IF(ISERROR(X88/I88),0,(X88/I88))</f>
        <v>0</v>
      </c>
      <c r="Z88" s="1096"/>
      <c r="AA88" s="1108">
        <f t="shared" si="47"/>
        <v>0</v>
      </c>
      <c r="AB88" s="740">
        <f t="shared" si="48"/>
        <v>0</v>
      </c>
      <c r="AC88" s="740">
        <f t="shared" si="49"/>
        <v>0</v>
      </c>
      <c r="AD88" s="740">
        <f t="shared" si="50"/>
        <v>0</v>
      </c>
      <c r="AE88" s="1108">
        <f t="shared" si="51"/>
        <v>0</v>
      </c>
      <c r="AF88" s="740">
        <f t="shared" si="52"/>
        <v>0</v>
      </c>
      <c r="AG88" s="740">
        <f t="shared" si="53"/>
        <v>0</v>
      </c>
      <c r="AH88" s="740">
        <f t="shared" si="54"/>
        <v>0</v>
      </c>
      <c r="AI88" s="1108">
        <f t="shared" si="55"/>
        <v>0</v>
      </c>
      <c r="AJ88" s="740">
        <f t="shared" si="56"/>
        <v>0</v>
      </c>
      <c r="AK88" s="740">
        <f t="shared" si="57"/>
        <v>0</v>
      </c>
      <c r="AL88" s="740">
        <f t="shared" si="58"/>
        <v>0</v>
      </c>
      <c r="AM88" s="740">
        <f t="shared" si="59"/>
        <v>0</v>
      </c>
      <c r="AN88" s="1108">
        <f t="shared" si="60"/>
        <v>0</v>
      </c>
      <c r="AO88" s="740">
        <f t="shared" si="61"/>
        <v>0</v>
      </c>
      <c r="AP88" s="740">
        <f t="shared" si="62"/>
        <v>0</v>
      </c>
      <c r="AQ88" s="740">
        <f t="shared" si="63"/>
        <v>0</v>
      </c>
      <c r="AR88" s="740">
        <f t="shared" si="64"/>
        <v>0</v>
      </c>
    </row>
    <row r="89" spans="1:44">
      <c r="A89" s="1190"/>
      <c r="B89" s="1191"/>
      <c r="C89" s="1192"/>
      <c r="D89" s="727"/>
      <c r="E89" s="727"/>
      <c r="F89" s="725">
        <f t="shared" si="65"/>
        <v>0</v>
      </c>
      <c r="G89" s="877"/>
      <c r="H89" s="998"/>
      <c r="I89" s="862"/>
      <c r="J89" s="739"/>
      <c r="K89" s="739"/>
      <c r="L89" s="739"/>
      <c r="M89" s="933">
        <f t="shared" si="66"/>
        <v>0</v>
      </c>
      <c r="N89" s="727"/>
      <c r="O89" s="727"/>
      <c r="P89" s="727"/>
      <c r="Q89" s="727"/>
      <c r="R89" s="727"/>
      <c r="S89" s="727"/>
      <c r="T89" s="727"/>
      <c r="U89" s="727"/>
      <c r="V89" s="727"/>
      <c r="W89" s="727"/>
      <c r="X89" s="740">
        <f t="shared" si="46"/>
        <v>0</v>
      </c>
      <c r="Y89" s="725">
        <f t="shared" si="67"/>
        <v>0</v>
      </c>
      <c r="Z89" s="1096"/>
      <c r="AA89" s="1108">
        <f t="shared" si="47"/>
        <v>0</v>
      </c>
      <c r="AB89" s="740">
        <f t="shared" si="48"/>
        <v>0</v>
      </c>
      <c r="AC89" s="740">
        <f t="shared" si="49"/>
        <v>0</v>
      </c>
      <c r="AD89" s="740">
        <f t="shared" si="50"/>
        <v>0</v>
      </c>
      <c r="AE89" s="1108">
        <f t="shared" si="51"/>
        <v>0</v>
      </c>
      <c r="AF89" s="740">
        <f t="shared" si="52"/>
        <v>0</v>
      </c>
      <c r="AG89" s="740">
        <f t="shared" si="53"/>
        <v>0</v>
      </c>
      <c r="AH89" s="740">
        <f t="shared" si="54"/>
        <v>0</v>
      </c>
      <c r="AI89" s="1108">
        <f t="shared" si="55"/>
        <v>0</v>
      </c>
      <c r="AJ89" s="740">
        <f t="shared" si="56"/>
        <v>0</v>
      </c>
      <c r="AK89" s="740">
        <f t="shared" si="57"/>
        <v>0</v>
      </c>
      <c r="AL89" s="740">
        <f t="shared" si="58"/>
        <v>0</v>
      </c>
      <c r="AM89" s="740">
        <f t="shared" si="59"/>
        <v>0</v>
      </c>
      <c r="AN89" s="1108">
        <f t="shared" si="60"/>
        <v>0</v>
      </c>
      <c r="AO89" s="740">
        <f t="shared" si="61"/>
        <v>0</v>
      </c>
      <c r="AP89" s="740">
        <f t="shared" si="62"/>
        <v>0</v>
      </c>
      <c r="AQ89" s="740">
        <f t="shared" si="63"/>
        <v>0</v>
      </c>
      <c r="AR89" s="740">
        <f t="shared" si="64"/>
        <v>0</v>
      </c>
    </row>
    <row r="90" spans="1:44">
      <c r="A90" s="1190"/>
      <c r="B90" s="1191"/>
      <c r="C90" s="1192"/>
      <c r="D90" s="727"/>
      <c r="E90" s="727"/>
      <c r="F90" s="725">
        <f t="shared" si="65"/>
        <v>0</v>
      </c>
      <c r="G90" s="877"/>
      <c r="H90" s="998"/>
      <c r="I90" s="862"/>
      <c r="J90" s="739"/>
      <c r="K90" s="739"/>
      <c r="L90" s="739"/>
      <c r="M90" s="933">
        <f t="shared" si="66"/>
        <v>0</v>
      </c>
      <c r="N90" s="727"/>
      <c r="O90" s="727"/>
      <c r="P90" s="727"/>
      <c r="Q90" s="727"/>
      <c r="R90" s="727"/>
      <c r="S90" s="727"/>
      <c r="T90" s="727"/>
      <c r="U90" s="727"/>
      <c r="V90" s="727"/>
      <c r="W90" s="727"/>
      <c r="X90" s="740">
        <f t="shared" si="46"/>
        <v>0</v>
      </c>
      <c r="Y90" s="725">
        <f t="shared" si="67"/>
        <v>0</v>
      </c>
      <c r="Z90" s="1096"/>
      <c r="AA90" s="1108">
        <f t="shared" si="47"/>
        <v>0</v>
      </c>
      <c r="AB90" s="740">
        <f t="shared" si="48"/>
        <v>0</v>
      </c>
      <c r="AC90" s="740">
        <f t="shared" si="49"/>
        <v>0</v>
      </c>
      <c r="AD90" s="740">
        <f t="shared" si="50"/>
        <v>0</v>
      </c>
      <c r="AE90" s="1108">
        <f t="shared" si="51"/>
        <v>0</v>
      </c>
      <c r="AF90" s="740">
        <f t="shared" si="52"/>
        <v>0</v>
      </c>
      <c r="AG90" s="740">
        <f t="shared" si="53"/>
        <v>0</v>
      </c>
      <c r="AH90" s="740">
        <f t="shared" si="54"/>
        <v>0</v>
      </c>
      <c r="AI90" s="1108">
        <f t="shared" si="55"/>
        <v>0</v>
      </c>
      <c r="AJ90" s="740">
        <f t="shared" si="56"/>
        <v>0</v>
      </c>
      <c r="AK90" s="740">
        <f t="shared" si="57"/>
        <v>0</v>
      </c>
      <c r="AL90" s="740">
        <f t="shared" si="58"/>
        <v>0</v>
      </c>
      <c r="AM90" s="740">
        <f t="shared" si="59"/>
        <v>0</v>
      </c>
      <c r="AN90" s="1108">
        <f t="shared" si="60"/>
        <v>0</v>
      </c>
      <c r="AO90" s="740">
        <f t="shared" si="61"/>
        <v>0</v>
      </c>
      <c r="AP90" s="740">
        <f t="shared" si="62"/>
        <v>0</v>
      </c>
      <c r="AQ90" s="740">
        <f t="shared" si="63"/>
        <v>0</v>
      </c>
      <c r="AR90" s="740">
        <f t="shared" si="64"/>
        <v>0</v>
      </c>
    </row>
    <row r="91" spans="1:44" ht="13.5" thickBot="1">
      <c r="A91" s="1196"/>
      <c r="B91" s="1197"/>
      <c r="C91" s="1198"/>
      <c r="D91" s="729"/>
      <c r="E91" s="729"/>
      <c r="F91" s="730">
        <f t="shared" si="65"/>
        <v>0</v>
      </c>
      <c r="G91" s="1048"/>
      <c r="H91" s="1049"/>
      <c r="I91" s="1050"/>
      <c r="J91" s="1051"/>
      <c r="K91" s="1051"/>
      <c r="L91" s="1051"/>
      <c r="M91" s="1052">
        <f t="shared" si="66"/>
        <v>0</v>
      </c>
      <c r="N91" s="1053"/>
      <c r="O91" s="1053"/>
      <c r="P91" s="1053"/>
      <c r="Q91" s="1053"/>
      <c r="R91" s="1053"/>
      <c r="S91" s="1053"/>
      <c r="T91" s="1053"/>
      <c r="U91" s="1053"/>
      <c r="V91" s="1053"/>
      <c r="W91" s="1053"/>
      <c r="X91" s="1054">
        <f t="shared" si="46"/>
        <v>0</v>
      </c>
      <c r="Y91" s="1055">
        <f>IF(ISERROR(X91/I91),0,(X91/I91))</f>
        <v>0</v>
      </c>
      <c r="Z91" s="1096"/>
      <c r="AA91" s="1108">
        <f t="shared" si="47"/>
        <v>0</v>
      </c>
      <c r="AB91" s="740">
        <f t="shared" si="48"/>
        <v>0</v>
      </c>
      <c r="AC91" s="740">
        <f t="shared" si="49"/>
        <v>0</v>
      </c>
      <c r="AD91" s="740">
        <f t="shared" si="50"/>
        <v>0</v>
      </c>
      <c r="AE91" s="1108">
        <f t="shared" si="51"/>
        <v>0</v>
      </c>
      <c r="AF91" s="740">
        <f t="shared" si="52"/>
        <v>0</v>
      </c>
      <c r="AG91" s="740">
        <f t="shared" si="53"/>
        <v>0</v>
      </c>
      <c r="AH91" s="740">
        <f t="shared" si="54"/>
        <v>0</v>
      </c>
      <c r="AI91" s="1108">
        <f t="shared" si="55"/>
        <v>0</v>
      </c>
      <c r="AJ91" s="740">
        <f t="shared" si="56"/>
        <v>0</v>
      </c>
      <c r="AK91" s="740">
        <f t="shared" si="57"/>
        <v>0</v>
      </c>
      <c r="AL91" s="740">
        <f t="shared" si="58"/>
        <v>0</v>
      </c>
      <c r="AM91" s="740">
        <f t="shared" si="59"/>
        <v>0</v>
      </c>
      <c r="AN91" s="1108">
        <f t="shared" si="60"/>
        <v>0</v>
      </c>
      <c r="AO91" s="740">
        <f t="shared" si="61"/>
        <v>0</v>
      </c>
      <c r="AP91" s="740">
        <f t="shared" si="62"/>
        <v>0</v>
      </c>
      <c r="AQ91" s="740">
        <f t="shared" si="63"/>
        <v>0</v>
      </c>
      <c r="AR91" s="740">
        <f t="shared" si="64"/>
        <v>0</v>
      </c>
    </row>
    <row r="92" spans="1:44" ht="15" customHeight="1" thickBot="1">
      <c r="A92" s="721" t="s">
        <v>475</v>
      </c>
      <c r="B92" s="945"/>
      <c r="C92" s="866">
        <f>SUM(C87:C91)</f>
        <v>0</v>
      </c>
      <c r="D92" s="1171">
        <f>IF(ISERROR(SUM(D87:D91)/C92),0,((SUM(D87:D91)/C92)))</f>
        <v>0</v>
      </c>
      <c r="E92" s="924">
        <f>SUM(E87:E91)</f>
        <v>0</v>
      </c>
      <c r="F92" s="753">
        <f>IFERROR(E92/C92,0)</f>
        <v>0</v>
      </c>
      <c r="G92" s="855"/>
      <c r="H92" s="855"/>
      <c r="I92" s="865">
        <f>SUM(I87:I91)</f>
        <v>0</v>
      </c>
      <c r="J92" s="1430"/>
      <c r="K92" s="1431"/>
      <c r="L92" s="1432"/>
      <c r="M92" s="754">
        <f>IF(ISERROR(SUM(M87:M91)/I92),0,(SUM(M87:M91)/I92))</f>
        <v>0</v>
      </c>
      <c r="N92" s="754">
        <f>IF(ISERROR(SUM(N87:N91)/I92),0,(SUM(N87:N91)/I92))</f>
        <v>0</v>
      </c>
      <c r="O92" s="754">
        <f>IF(ISERROR(SUM(O87:O91)/I92),0,(SUM(O87:O91)/I92))</f>
        <v>0</v>
      </c>
      <c r="P92" s="754">
        <f>IF(ISERROR(SUM(P87:P91)/I92),0,(SUM(P87:P91)/I92))</f>
        <v>0</v>
      </c>
      <c r="Q92" s="754">
        <f>IF(ISERROR(SUM(Q87:Q91)/I92),0,(SUM(Q87:Q91)/I92))</f>
        <v>0</v>
      </c>
      <c r="R92" s="754">
        <f>IF(ISERROR(SUM(R87:R91)/I92),0,(SUM(R87:R91)/I92))</f>
        <v>0</v>
      </c>
      <c r="S92" s="754">
        <f>IF(ISERROR(SUM(S87:S91)/I92),0,(SUM(S87:S91)/I92))</f>
        <v>0</v>
      </c>
      <c r="T92" s="754">
        <f>IF(ISERROR(SUM(T87:T91)/I92),0,(SUM(T87:T91)/I92))</f>
        <v>0</v>
      </c>
      <c r="U92" s="754">
        <f>IF(ISERROR(SUM(U87:U91)/I92),0,(SUM(U87:U91)/I92))</f>
        <v>0</v>
      </c>
      <c r="V92" s="754">
        <f>IF(ISERROR(SUM(V87:V91)/I92),0,(SUM(V87:V91)/I92))</f>
        <v>0</v>
      </c>
      <c r="W92" s="754">
        <f>IF(ISERROR(SUM(W87:W91)/I92),0,(SUM(W87:W91)/I92))</f>
        <v>0</v>
      </c>
      <c r="X92" s="754">
        <f>SUM(X87:X91)</f>
        <v>0</v>
      </c>
      <c r="Y92" s="736">
        <f>IFERROR(SUM(X92/I92),0)</f>
        <v>0</v>
      </c>
      <c r="Z92" s="1097"/>
      <c r="AA92" s="1011"/>
      <c r="AB92" s="1011"/>
      <c r="AC92" s="1011"/>
      <c r="AD92" s="1011"/>
      <c r="AE92" s="1011"/>
      <c r="AF92" s="1011"/>
      <c r="AG92" s="1011"/>
      <c r="AH92" s="1011"/>
      <c r="AI92" s="1011"/>
      <c r="AJ92" s="1011"/>
      <c r="AK92" s="1011"/>
      <c r="AL92" s="1011"/>
      <c r="AM92" s="1011"/>
      <c r="AN92" s="1011"/>
      <c r="AO92" s="1011"/>
      <c r="AP92" s="1011"/>
      <c r="AQ92" s="1011"/>
      <c r="AR92" s="1011"/>
    </row>
    <row r="93" spans="1:44" ht="13.5" thickBot="1">
      <c r="A93" s="315"/>
      <c r="B93" s="315"/>
      <c r="C93" s="755"/>
      <c r="D93" s="1173"/>
      <c r="E93" s="743"/>
      <c r="F93" s="744"/>
      <c r="G93" s="745"/>
      <c r="H93" s="745"/>
      <c r="X93" s="756" t="s">
        <v>506</v>
      </c>
      <c r="Y93" s="757" t="str">
        <f>IFERROR(Y92*100/F92-100,"")</f>
        <v/>
      </c>
      <c r="Z93" s="1098"/>
      <c r="AA93" s="737"/>
      <c r="AB93" s="737"/>
      <c r="AC93" s="737"/>
      <c r="AD93" s="737"/>
      <c r="AE93" s="737"/>
      <c r="AF93" s="737"/>
      <c r="AG93" s="737"/>
      <c r="AH93" s="737"/>
      <c r="AI93" s="737"/>
      <c r="AJ93" s="737"/>
      <c r="AK93" s="737"/>
      <c r="AL93" s="737"/>
      <c r="AM93" s="737"/>
      <c r="AN93" s="737"/>
      <c r="AO93" s="737"/>
      <c r="AP93" s="737"/>
      <c r="AQ93" s="737"/>
      <c r="AR93" s="737"/>
    </row>
    <row r="94" spans="1:44" ht="29.25" hidden="1" customHeight="1">
      <c r="D94" s="934"/>
      <c r="E94" s="934"/>
      <c r="Z94" s="1092"/>
    </row>
    <row r="95" spans="1:44" ht="13.5" thickBot="1">
      <c r="A95" s="315" t="s">
        <v>476</v>
      </c>
      <c r="B95" s="315"/>
      <c r="C95" s="315"/>
      <c r="D95" s="934"/>
      <c r="E95" s="934"/>
      <c r="G95" s="315" t="s">
        <v>476</v>
      </c>
      <c r="Z95" s="1092"/>
    </row>
    <row r="96" spans="1:44">
      <c r="A96" s="1187"/>
      <c r="B96" s="1188"/>
      <c r="C96" s="1199"/>
      <c r="D96" s="1039"/>
      <c r="E96" s="1039"/>
      <c r="F96" s="722">
        <f>IF(ISERROR(E96/C96),0,(E96/C96))</f>
        <v>0</v>
      </c>
      <c r="G96" s="1056"/>
      <c r="H96" s="1057"/>
      <c r="I96" s="1058"/>
      <c r="J96" s="1039"/>
      <c r="K96" s="1039"/>
      <c r="L96" s="1046"/>
      <c r="M96" s="1038">
        <f t="shared" ref="M96" si="68">IFERROR(L96*I96,"")</f>
        <v>0</v>
      </c>
      <c r="N96" s="1039"/>
      <c r="O96" s="1039"/>
      <c r="P96" s="1039"/>
      <c r="Q96" s="1039"/>
      <c r="R96" s="1039"/>
      <c r="S96" s="1047"/>
      <c r="T96" s="1047"/>
      <c r="U96" s="1039"/>
      <c r="V96" s="1039"/>
      <c r="W96" s="1039"/>
      <c r="X96" s="1040">
        <f t="shared" ref="X96:X104" si="69">IFERROR(IF(G96&lt;&gt;"GfB",(SUM(M96:P96,R96,V96)*12+(T96+U96))*(100+$P$12+$P$13)%+((Q96+S96+W96)*12),(SUM(M96:P96,R96,V96)*12+(T96+U96))*(100+$P$15+$P$13)%+((Q96+S96+W96)*12)),0)</f>
        <v>0</v>
      </c>
      <c r="Y96" s="722">
        <f>IF(ISERROR(X96/I96),0,(X96/I96))</f>
        <v>0</v>
      </c>
      <c r="Z96" s="1096"/>
      <c r="AA96" s="1108">
        <f t="shared" ref="AA96:AA104" si="70">IF(AND($H96="PFK/BFK",$I96&gt;0,$L96&gt;0),($M96+$N96),0)</f>
        <v>0</v>
      </c>
      <c r="AB96" s="740">
        <f t="shared" ref="AB96:AB104" si="71">IF(AND($H96="PFK/BFK",$I96&gt;0,$L96&gt;0),$O96,0)</f>
        <v>0</v>
      </c>
      <c r="AC96" s="740">
        <f t="shared" ref="AC96:AC104" si="72">IF(AND($H96="PFK/BFK",$I96&gt;0,$L96&gt;0),($P96+$Q96),0)</f>
        <v>0</v>
      </c>
      <c r="AD96" s="740">
        <f t="shared" ref="AD96:AD104" si="73">IF(AND($H96="PFK/BFK",$I96&gt;0,$L96&gt;0),(($T96+$U96)/12),0)</f>
        <v>0</v>
      </c>
      <c r="AE96" s="1108">
        <f t="shared" ref="AE96:AE104" si="74">IF(AND($H96="PK/BK",$I96&gt;0,$L96&gt;0),($M96+$N96),0)</f>
        <v>0</v>
      </c>
      <c r="AF96" s="740">
        <f t="shared" ref="AF96:AF104" si="75">IF(AND($H96="PK/BK",$I96&gt;0,$L96&gt;0),$O96,0)</f>
        <v>0</v>
      </c>
      <c r="AG96" s="740">
        <f t="shared" ref="AG96:AG104" si="76">IF(AND($H96="PK/BK",$I96&gt;0,$L96&gt;0),($P96+$Q96),0)</f>
        <v>0</v>
      </c>
      <c r="AH96" s="740">
        <f t="shared" ref="AH96:AH104" si="77">IF(AND($H96="PK/BK",$I96&gt;0,$L96&gt;0),(($T96+$U96)/12),0)</f>
        <v>0</v>
      </c>
      <c r="AI96" s="1108">
        <f t="shared" ref="AI96:AI104" si="78">IF(AND($H96="PK/BK o.",$I96&gt;0,$L96&gt;0),($M96+$N96),0)</f>
        <v>0</v>
      </c>
      <c r="AJ96" s="740">
        <f t="shared" ref="AJ96:AJ104" si="79">IF(AND($H96="PK/BK o.",$I96&gt;0,$L96&gt;0),$O96,0)</f>
        <v>0</v>
      </c>
      <c r="AK96" s="740">
        <f t="shared" ref="AK96:AK104" si="80">IF(AND($H96="PK/BK o.",$I96&gt;0,$L96&gt;0),($P96+$Q96),0)</f>
        <v>0</v>
      </c>
      <c r="AL96" s="740">
        <f t="shared" ref="AL96:AL104" si="81">IF(AND($H96="PK/BK o.",$I96&gt;0,$L96&gt;0),(($T96+$U96)/12),0)</f>
        <v>0</v>
      </c>
      <c r="AM96" s="740">
        <f t="shared" ref="AM96:AM104" si="82">IF(AND($H96="PFK/BFK",$I96&gt;0,$L96&gt;0),$I96,0)</f>
        <v>0</v>
      </c>
      <c r="AN96" s="1108">
        <f t="shared" ref="AN96:AN104" si="83">IF(AND($H96="PK/BK",$I96&gt;0,$L96&gt;0),$I96,0)</f>
        <v>0</v>
      </c>
      <c r="AO96" s="740">
        <f t="shared" ref="AO96:AO104" si="84">IF(AND($H96="PK/BK o.",$I96&gt;0,$L96&gt;0),$I96,0)</f>
        <v>0</v>
      </c>
      <c r="AP96" s="740">
        <f t="shared" ref="AP96:AP104" si="85">IF(AND($H96="PFK/BFK",$I96&gt;0,$L96&gt;0),$X96,0)</f>
        <v>0</v>
      </c>
      <c r="AQ96" s="740">
        <f t="shared" ref="AQ96:AQ104" si="86">IF(AND($H96="PK/BK",$I96&gt;0,$L96&gt;0),$X96,0)</f>
        <v>0</v>
      </c>
      <c r="AR96" s="740">
        <f t="shared" ref="AR96:AR104" si="87">IF(AND($H96="PK/BK o.",$I96&gt;0,$L96&gt;0),$X96,0)</f>
        <v>0</v>
      </c>
    </row>
    <row r="97" spans="1:50">
      <c r="A97" s="1190"/>
      <c r="B97" s="1191"/>
      <c r="C97" s="1200"/>
      <c r="D97" s="727"/>
      <c r="E97" s="727"/>
      <c r="F97" s="725">
        <f t="shared" ref="F97:F103" si="88">IF(ISERROR(E97/C97),0,(E97/C97))</f>
        <v>0</v>
      </c>
      <c r="G97" s="903"/>
      <c r="H97" s="1002"/>
      <c r="I97" s="920"/>
      <c r="J97" s="727"/>
      <c r="K97" s="727"/>
      <c r="L97" s="739"/>
      <c r="M97" s="933">
        <f t="shared" ref="M97:M104" si="89">IFERROR(L97*I97,"")</f>
        <v>0</v>
      </c>
      <c r="N97" s="727"/>
      <c r="O97" s="727"/>
      <c r="P97" s="727"/>
      <c r="Q97" s="727"/>
      <c r="R97" s="727"/>
      <c r="S97" s="906"/>
      <c r="T97" s="906"/>
      <c r="U97" s="727"/>
      <c r="V97" s="727"/>
      <c r="W97" s="727"/>
      <c r="X97" s="740">
        <f t="shared" si="69"/>
        <v>0</v>
      </c>
      <c r="Y97" s="725">
        <f t="shared" ref="Y97:Y99" si="90">IF(ISERROR(X97/I97),0,(X97/I97))</f>
        <v>0</v>
      </c>
      <c r="Z97" s="1096"/>
      <c r="AA97" s="1108">
        <f t="shared" si="70"/>
        <v>0</v>
      </c>
      <c r="AB97" s="740">
        <f t="shared" si="71"/>
        <v>0</v>
      </c>
      <c r="AC97" s="740">
        <f t="shared" si="72"/>
        <v>0</v>
      </c>
      <c r="AD97" s="740">
        <f t="shared" si="73"/>
        <v>0</v>
      </c>
      <c r="AE97" s="1108">
        <f t="shared" si="74"/>
        <v>0</v>
      </c>
      <c r="AF97" s="740">
        <f t="shared" si="75"/>
        <v>0</v>
      </c>
      <c r="AG97" s="740">
        <f t="shared" si="76"/>
        <v>0</v>
      </c>
      <c r="AH97" s="740">
        <f t="shared" si="77"/>
        <v>0</v>
      </c>
      <c r="AI97" s="1108">
        <f t="shared" si="78"/>
        <v>0</v>
      </c>
      <c r="AJ97" s="740">
        <f t="shared" si="79"/>
        <v>0</v>
      </c>
      <c r="AK97" s="740">
        <f t="shared" si="80"/>
        <v>0</v>
      </c>
      <c r="AL97" s="740">
        <f t="shared" si="81"/>
        <v>0</v>
      </c>
      <c r="AM97" s="740">
        <f t="shared" si="82"/>
        <v>0</v>
      </c>
      <c r="AN97" s="1108">
        <f t="shared" si="83"/>
        <v>0</v>
      </c>
      <c r="AO97" s="740">
        <f t="shared" si="84"/>
        <v>0</v>
      </c>
      <c r="AP97" s="740">
        <f t="shared" si="85"/>
        <v>0</v>
      </c>
      <c r="AQ97" s="740">
        <f t="shared" si="86"/>
        <v>0</v>
      </c>
      <c r="AR97" s="740">
        <f t="shared" si="87"/>
        <v>0</v>
      </c>
    </row>
    <row r="98" spans="1:50">
      <c r="A98" s="1190"/>
      <c r="B98" s="1191"/>
      <c r="C98" s="1200"/>
      <c r="D98" s="727"/>
      <c r="E98" s="727"/>
      <c r="F98" s="725">
        <f t="shared" si="88"/>
        <v>0</v>
      </c>
      <c r="G98" s="903"/>
      <c r="H98" s="1002"/>
      <c r="I98" s="920"/>
      <c r="J98" s="727"/>
      <c r="K98" s="727"/>
      <c r="L98" s="739"/>
      <c r="M98" s="933">
        <f t="shared" si="89"/>
        <v>0</v>
      </c>
      <c r="N98" s="727"/>
      <c r="O98" s="727"/>
      <c r="P98" s="727"/>
      <c r="Q98" s="727"/>
      <c r="R98" s="727"/>
      <c r="S98" s="906"/>
      <c r="T98" s="906"/>
      <c r="U98" s="727"/>
      <c r="V98" s="727"/>
      <c r="W98" s="727"/>
      <c r="X98" s="740">
        <f t="shared" si="69"/>
        <v>0</v>
      </c>
      <c r="Y98" s="725">
        <f t="shared" si="90"/>
        <v>0</v>
      </c>
      <c r="Z98" s="1096"/>
      <c r="AA98" s="1108">
        <f t="shared" si="70"/>
        <v>0</v>
      </c>
      <c r="AB98" s="740">
        <f t="shared" si="71"/>
        <v>0</v>
      </c>
      <c r="AC98" s="740">
        <f t="shared" si="72"/>
        <v>0</v>
      </c>
      <c r="AD98" s="740">
        <f t="shared" si="73"/>
        <v>0</v>
      </c>
      <c r="AE98" s="1108">
        <f t="shared" si="74"/>
        <v>0</v>
      </c>
      <c r="AF98" s="740">
        <f t="shared" si="75"/>
        <v>0</v>
      </c>
      <c r="AG98" s="740">
        <f t="shared" si="76"/>
        <v>0</v>
      </c>
      <c r="AH98" s="740">
        <f t="shared" si="77"/>
        <v>0</v>
      </c>
      <c r="AI98" s="1108">
        <f t="shared" si="78"/>
        <v>0</v>
      </c>
      <c r="AJ98" s="740">
        <f t="shared" si="79"/>
        <v>0</v>
      </c>
      <c r="AK98" s="740">
        <f t="shared" si="80"/>
        <v>0</v>
      </c>
      <c r="AL98" s="740">
        <f t="shared" si="81"/>
        <v>0</v>
      </c>
      <c r="AM98" s="740">
        <f t="shared" si="82"/>
        <v>0</v>
      </c>
      <c r="AN98" s="1108">
        <f t="shared" si="83"/>
        <v>0</v>
      </c>
      <c r="AO98" s="740">
        <f t="shared" si="84"/>
        <v>0</v>
      </c>
      <c r="AP98" s="740">
        <f t="shared" si="85"/>
        <v>0</v>
      </c>
      <c r="AQ98" s="740">
        <f t="shared" si="86"/>
        <v>0</v>
      </c>
      <c r="AR98" s="740">
        <f t="shared" si="87"/>
        <v>0</v>
      </c>
    </row>
    <row r="99" spans="1:50">
      <c r="A99" s="1190"/>
      <c r="B99" s="1191"/>
      <c r="C99" s="1200"/>
      <c r="D99" s="727"/>
      <c r="E99" s="727"/>
      <c r="F99" s="725">
        <f t="shared" si="88"/>
        <v>0</v>
      </c>
      <c r="G99" s="877"/>
      <c r="H99" s="998"/>
      <c r="I99" s="862"/>
      <c r="J99" s="727"/>
      <c r="K99" s="727"/>
      <c r="L99" s="739"/>
      <c r="M99" s="933">
        <f t="shared" si="89"/>
        <v>0</v>
      </c>
      <c r="N99" s="727"/>
      <c r="O99" s="727"/>
      <c r="P99" s="727"/>
      <c r="Q99" s="727"/>
      <c r="R99" s="727"/>
      <c r="S99" s="727"/>
      <c r="T99" s="727"/>
      <c r="U99" s="727"/>
      <c r="V99" s="727"/>
      <c r="W99" s="727"/>
      <c r="X99" s="740">
        <f t="shared" si="69"/>
        <v>0</v>
      </c>
      <c r="Y99" s="725">
        <f t="shared" si="90"/>
        <v>0</v>
      </c>
      <c r="Z99" s="1096"/>
      <c r="AA99" s="1108">
        <f t="shared" si="70"/>
        <v>0</v>
      </c>
      <c r="AB99" s="740">
        <f t="shared" si="71"/>
        <v>0</v>
      </c>
      <c r="AC99" s="740">
        <f t="shared" si="72"/>
        <v>0</v>
      </c>
      <c r="AD99" s="740">
        <f t="shared" si="73"/>
        <v>0</v>
      </c>
      <c r="AE99" s="1108">
        <f t="shared" si="74"/>
        <v>0</v>
      </c>
      <c r="AF99" s="740">
        <f t="shared" si="75"/>
        <v>0</v>
      </c>
      <c r="AG99" s="740">
        <f t="shared" si="76"/>
        <v>0</v>
      </c>
      <c r="AH99" s="740">
        <f t="shared" si="77"/>
        <v>0</v>
      </c>
      <c r="AI99" s="1108">
        <f t="shared" si="78"/>
        <v>0</v>
      </c>
      <c r="AJ99" s="740">
        <f t="shared" si="79"/>
        <v>0</v>
      </c>
      <c r="AK99" s="740">
        <f t="shared" si="80"/>
        <v>0</v>
      </c>
      <c r="AL99" s="740">
        <f t="shared" si="81"/>
        <v>0</v>
      </c>
      <c r="AM99" s="740">
        <f t="shared" si="82"/>
        <v>0</v>
      </c>
      <c r="AN99" s="1108">
        <f t="shared" si="83"/>
        <v>0</v>
      </c>
      <c r="AO99" s="740">
        <f t="shared" si="84"/>
        <v>0</v>
      </c>
      <c r="AP99" s="740">
        <f t="shared" si="85"/>
        <v>0</v>
      </c>
      <c r="AQ99" s="740">
        <f t="shared" si="86"/>
        <v>0</v>
      </c>
      <c r="AR99" s="740">
        <f t="shared" si="87"/>
        <v>0</v>
      </c>
    </row>
    <row r="100" spans="1:50">
      <c r="A100" s="1190"/>
      <c r="B100" s="1191"/>
      <c r="C100" s="1200"/>
      <c r="D100" s="727"/>
      <c r="E100" s="727"/>
      <c r="F100" s="725">
        <f t="shared" si="88"/>
        <v>0</v>
      </c>
      <c r="G100" s="877"/>
      <c r="H100" s="998"/>
      <c r="I100" s="862"/>
      <c r="J100" s="727"/>
      <c r="K100" s="727"/>
      <c r="L100" s="739"/>
      <c r="M100" s="933">
        <f t="shared" si="89"/>
        <v>0</v>
      </c>
      <c r="N100" s="727"/>
      <c r="O100" s="727"/>
      <c r="P100" s="727"/>
      <c r="Q100" s="727"/>
      <c r="R100" s="727"/>
      <c r="S100" s="727"/>
      <c r="T100" s="727"/>
      <c r="U100" s="727"/>
      <c r="V100" s="727"/>
      <c r="W100" s="727"/>
      <c r="X100" s="740">
        <f t="shared" si="69"/>
        <v>0</v>
      </c>
      <c r="Y100" s="725">
        <f>IF(ISERROR(X100/I100),0,(X100/I100))</f>
        <v>0</v>
      </c>
      <c r="Z100" s="1096"/>
      <c r="AA100" s="1108">
        <f t="shared" si="70"/>
        <v>0</v>
      </c>
      <c r="AB100" s="740">
        <f t="shared" si="71"/>
        <v>0</v>
      </c>
      <c r="AC100" s="740">
        <f t="shared" si="72"/>
        <v>0</v>
      </c>
      <c r="AD100" s="740">
        <f t="shared" si="73"/>
        <v>0</v>
      </c>
      <c r="AE100" s="1108">
        <f t="shared" si="74"/>
        <v>0</v>
      </c>
      <c r="AF100" s="740">
        <f t="shared" si="75"/>
        <v>0</v>
      </c>
      <c r="AG100" s="740">
        <f t="shared" si="76"/>
        <v>0</v>
      </c>
      <c r="AH100" s="740">
        <f t="shared" si="77"/>
        <v>0</v>
      </c>
      <c r="AI100" s="1108">
        <f t="shared" si="78"/>
        <v>0</v>
      </c>
      <c r="AJ100" s="740">
        <f t="shared" si="79"/>
        <v>0</v>
      </c>
      <c r="AK100" s="740">
        <f t="shared" si="80"/>
        <v>0</v>
      </c>
      <c r="AL100" s="740">
        <f t="shared" si="81"/>
        <v>0</v>
      </c>
      <c r="AM100" s="740">
        <f t="shared" si="82"/>
        <v>0</v>
      </c>
      <c r="AN100" s="1108">
        <f t="shared" si="83"/>
        <v>0</v>
      </c>
      <c r="AO100" s="740">
        <f t="shared" si="84"/>
        <v>0</v>
      </c>
      <c r="AP100" s="740">
        <f t="shared" si="85"/>
        <v>0</v>
      </c>
      <c r="AQ100" s="740">
        <f t="shared" si="86"/>
        <v>0</v>
      </c>
      <c r="AR100" s="740">
        <f t="shared" si="87"/>
        <v>0</v>
      </c>
    </row>
    <row r="101" spans="1:50">
      <c r="A101" s="1190"/>
      <c r="B101" s="1191"/>
      <c r="C101" s="1200"/>
      <c r="D101" s="727"/>
      <c r="E101" s="727"/>
      <c r="F101" s="725">
        <f t="shared" si="88"/>
        <v>0</v>
      </c>
      <c r="G101" s="877"/>
      <c r="H101" s="998"/>
      <c r="I101" s="862"/>
      <c r="J101" s="727"/>
      <c r="K101" s="727"/>
      <c r="L101" s="739"/>
      <c r="M101" s="933">
        <f t="shared" si="89"/>
        <v>0</v>
      </c>
      <c r="N101" s="727"/>
      <c r="O101" s="727"/>
      <c r="P101" s="727"/>
      <c r="Q101" s="727"/>
      <c r="R101" s="727"/>
      <c r="S101" s="727"/>
      <c r="T101" s="727"/>
      <c r="U101" s="727"/>
      <c r="V101" s="727"/>
      <c r="W101" s="727"/>
      <c r="X101" s="740">
        <f t="shared" si="69"/>
        <v>0</v>
      </c>
      <c r="Y101" s="725">
        <f>IF(ISERROR(X101/I101),0,(X101/I101))</f>
        <v>0</v>
      </c>
      <c r="Z101" s="1096"/>
      <c r="AA101" s="1108">
        <f t="shared" si="70"/>
        <v>0</v>
      </c>
      <c r="AB101" s="740">
        <f t="shared" si="71"/>
        <v>0</v>
      </c>
      <c r="AC101" s="740">
        <f t="shared" si="72"/>
        <v>0</v>
      </c>
      <c r="AD101" s="740">
        <f t="shared" si="73"/>
        <v>0</v>
      </c>
      <c r="AE101" s="1108">
        <f t="shared" si="74"/>
        <v>0</v>
      </c>
      <c r="AF101" s="740">
        <f t="shared" si="75"/>
        <v>0</v>
      </c>
      <c r="AG101" s="740">
        <f t="shared" si="76"/>
        <v>0</v>
      </c>
      <c r="AH101" s="740">
        <f t="shared" si="77"/>
        <v>0</v>
      </c>
      <c r="AI101" s="1108">
        <f t="shared" si="78"/>
        <v>0</v>
      </c>
      <c r="AJ101" s="740">
        <f t="shared" si="79"/>
        <v>0</v>
      </c>
      <c r="AK101" s="740">
        <f t="shared" si="80"/>
        <v>0</v>
      </c>
      <c r="AL101" s="740">
        <f t="shared" si="81"/>
        <v>0</v>
      </c>
      <c r="AM101" s="740">
        <f t="shared" si="82"/>
        <v>0</v>
      </c>
      <c r="AN101" s="1108">
        <f t="shared" si="83"/>
        <v>0</v>
      </c>
      <c r="AO101" s="740">
        <f t="shared" si="84"/>
        <v>0</v>
      </c>
      <c r="AP101" s="740">
        <f t="shared" si="85"/>
        <v>0</v>
      </c>
      <c r="AQ101" s="740">
        <f t="shared" si="86"/>
        <v>0</v>
      </c>
      <c r="AR101" s="740">
        <f t="shared" si="87"/>
        <v>0</v>
      </c>
    </row>
    <row r="102" spans="1:50">
      <c r="A102" s="1190"/>
      <c r="B102" s="1191"/>
      <c r="C102" s="1200"/>
      <c r="D102" s="727"/>
      <c r="E102" s="727"/>
      <c r="F102" s="725">
        <f t="shared" si="88"/>
        <v>0</v>
      </c>
      <c r="G102" s="877"/>
      <c r="H102" s="998"/>
      <c r="I102" s="862"/>
      <c r="J102" s="727"/>
      <c r="K102" s="727"/>
      <c r="L102" s="739"/>
      <c r="M102" s="933">
        <f t="shared" si="89"/>
        <v>0</v>
      </c>
      <c r="N102" s="727"/>
      <c r="O102" s="727"/>
      <c r="P102" s="727"/>
      <c r="Q102" s="727"/>
      <c r="R102" s="727"/>
      <c r="S102" s="727"/>
      <c r="T102" s="727"/>
      <c r="U102" s="727"/>
      <c r="V102" s="727"/>
      <c r="W102" s="727"/>
      <c r="X102" s="740">
        <f t="shared" si="69"/>
        <v>0</v>
      </c>
      <c r="Y102" s="725">
        <f t="shared" ref="Y102:Y104" si="91">IF(ISERROR(X102/I102),0,(X102/I102))</f>
        <v>0</v>
      </c>
      <c r="Z102" s="1096"/>
      <c r="AA102" s="1108">
        <f t="shared" si="70"/>
        <v>0</v>
      </c>
      <c r="AB102" s="740">
        <f t="shared" si="71"/>
        <v>0</v>
      </c>
      <c r="AC102" s="740">
        <f t="shared" si="72"/>
        <v>0</v>
      </c>
      <c r="AD102" s="740">
        <f t="shared" si="73"/>
        <v>0</v>
      </c>
      <c r="AE102" s="1108">
        <f t="shared" si="74"/>
        <v>0</v>
      </c>
      <c r="AF102" s="740">
        <f t="shared" si="75"/>
        <v>0</v>
      </c>
      <c r="AG102" s="740">
        <f t="shared" si="76"/>
        <v>0</v>
      </c>
      <c r="AH102" s="740">
        <f t="shared" si="77"/>
        <v>0</v>
      </c>
      <c r="AI102" s="1108">
        <f t="shared" si="78"/>
        <v>0</v>
      </c>
      <c r="AJ102" s="740">
        <f t="shared" si="79"/>
        <v>0</v>
      </c>
      <c r="AK102" s="740">
        <f t="shared" si="80"/>
        <v>0</v>
      </c>
      <c r="AL102" s="740">
        <f t="shared" si="81"/>
        <v>0</v>
      </c>
      <c r="AM102" s="740">
        <f t="shared" si="82"/>
        <v>0</v>
      </c>
      <c r="AN102" s="1108">
        <f t="shared" si="83"/>
        <v>0</v>
      </c>
      <c r="AO102" s="740">
        <f t="shared" si="84"/>
        <v>0</v>
      </c>
      <c r="AP102" s="740">
        <f t="shared" si="85"/>
        <v>0</v>
      </c>
      <c r="AQ102" s="740">
        <f t="shared" si="86"/>
        <v>0</v>
      </c>
      <c r="AR102" s="740">
        <f t="shared" si="87"/>
        <v>0</v>
      </c>
    </row>
    <row r="103" spans="1:50">
      <c r="A103" s="1190"/>
      <c r="B103" s="1191"/>
      <c r="C103" s="1200"/>
      <c r="D103" s="727"/>
      <c r="E103" s="727"/>
      <c r="F103" s="725">
        <f t="shared" si="88"/>
        <v>0</v>
      </c>
      <c r="G103" s="877"/>
      <c r="H103" s="998"/>
      <c r="I103" s="862"/>
      <c r="J103" s="727"/>
      <c r="K103" s="727"/>
      <c r="L103" s="739"/>
      <c r="M103" s="933">
        <f t="shared" si="89"/>
        <v>0</v>
      </c>
      <c r="N103" s="727"/>
      <c r="O103" s="727"/>
      <c r="P103" s="727"/>
      <c r="Q103" s="727"/>
      <c r="R103" s="727"/>
      <c r="S103" s="727"/>
      <c r="T103" s="727"/>
      <c r="U103" s="727"/>
      <c r="V103" s="727"/>
      <c r="W103" s="727"/>
      <c r="X103" s="740">
        <f t="shared" si="69"/>
        <v>0</v>
      </c>
      <c r="Y103" s="725">
        <f t="shared" si="91"/>
        <v>0</v>
      </c>
      <c r="Z103" s="1096"/>
      <c r="AA103" s="1108">
        <f t="shared" si="70"/>
        <v>0</v>
      </c>
      <c r="AB103" s="740">
        <f t="shared" si="71"/>
        <v>0</v>
      </c>
      <c r="AC103" s="740">
        <f t="shared" si="72"/>
        <v>0</v>
      </c>
      <c r="AD103" s="740">
        <f t="shared" si="73"/>
        <v>0</v>
      </c>
      <c r="AE103" s="1108">
        <f t="shared" si="74"/>
        <v>0</v>
      </c>
      <c r="AF103" s="740">
        <f t="shared" si="75"/>
        <v>0</v>
      </c>
      <c r="AG103" s="740">
        <f t="shared" si="76"/>
        <v>0</v>
      </c>
      <c r="AH103" s="740">
        <f t="shared" si="77"/>
        <v>0</v>
      </c>
      <c r="AI103" s="1108">
        <f t="shared" si="78"/>
        <v>0</v>
      </c>
      <c r="AJ103" s="740">
        <f t="shared" si="79"/>
        <v>0</v>
      </c>
      <c r="AK103" s="740">
        <f t="shared" si="80"/>
        <v>0</v>
      </c>
      <c r="AL103" s="740">
        <f t="shared" si="81"/>
        <v>0</v>
      </c>
      <c r="AM103" s="740">
        <f t="shared" si="82"/>
        <v>0</v>
      </c>
      <c r="AN103" s="1108">
        <f t="shared" si="83"/>
        <v>0</v>
      </c>
      <c r="AO103" s="740">
        <f t="shared" si="84"/>
        <v>0</v>
      </c>
      <c r="AP103" s="740">
        <f t="shared" si="85"/>
        <v>0</v>
      </c>
      <c r="AQ103" s="740">
        <f t="shared" si="86"/>
        <v>0</v>
      </c>
      <c r="AR103" s="740">
        <f t="shared" si="87"/>
        <v>0</v>
      </c>
    </row>
    <row r="104" spans="1:50" ht="13.5" thickBot="1">
      <c r="A104" s="1196"/>
      <c r="B104" s="1197"/>
      <c r="C104" s="1201"/>
      <c r="D104" s="729"/>
      <c r="E104" s="729"/>
      <c r="F104" s="730">
        <f>IF(ISERROR(E104/C104),0,(E104/C104))</f>
        <v>0</v>
      </c>
      <c r="G104" s="1048"/>
      <c r="H104" s="1049"/>
      <c r="I104" s="1050"/>
      <c r="J104" s="1053"/>
      <c r="K104" s="1053"/>
      <c r="L104" s="1051"/>
      <c r="M104" s="1052">
        <f t="shared" si="89"/>
        <v>0</v>
      </c>
      <c r="N104" s="1053"/>
      <c r="O104" s="1053"/>
      <c r="P104" s="1053"/>
      <c r="Q104" s="1053"/>
      <c r="R104" s="1053"/>
      <c r="S104" s="1053"/>
      <c r="T104" s="1053"/>
      <c r="U104" s="1053"/>
      <c r="V104" s="1053"/>
      <c r="W104" s="1053"/>
      <c r="X104" s="1054">
        <f t="shared" si="69"/>
        <v>0</v>
      </c>
      <c r="Y104" s="1055">
        <f t="shared" si="91"/>
        <v>0</v>
      </c>
      <c r="Z104" s="1096"/>
      <c r="AA104" s="1108">
        <f t="shared" si="70"/>
        <v>0</v>
      </c>
      <c r="AB104" s="740">
        <f t="shared" si="71"/>
        <v>0</v>
      </c>
      <c r="AC104" s="740">
        <f t="shared" si="72"/>
        <v>0</v>
      </c>
      <c r="AD104" s="740">
        <f t="shared" si="73"/>
        <v>0</v>
      </c>
      <c r="AE104" s="1108">
        <f t="shared" si="74"/>
        <v>0</v>
      </c>
      <c r="AF104" s="740">
        <f t="shared" si="75"/>
        <v>0</v>
      </c>
      <c r="AG104" s="740">
        <f t="shared" si="76"/>
        <v>0</v>
      </c>
      <c r="AH104" s="740">
        <f t="shared" si="77"/>
        <v>0</v>
      </c>
      <c r="AI104" s="1108">
        <f t="shared" si="78"/>
        <v>0</v>
      </c>
      <c r="AJ104" s="740">
        <f t="shared" si="79"/>
        <v>0</v>
      </c>
      <c r="AK104" s="740">
        <f t="shared" si="80"/>
        <v>0</v>
      </c>
      <c r="AL104" s="740">
        <f t="shared" si="81"/>
        <v>0</v>
      </c>
      <c r="AM104" s="740">
        <f t="shared" si="82"/>
        <v>0</v>
      </c>
      <c r="AN104" s="1108">
        <f t="shared" si="83"/>
        <v>0</v>
      </c>
      <c r="AO104" s="740">
        <f t="shared" si="84"/>
        <v>0</v>
      </c>
      <c r="AP104" s="740">
        <f t="shared" si="85"/>
        <v>0</v>
      </c>
      <c r="AQ104" s="740">
        <f t="shared" si="86"/>
        <v>0</v>
      </c>
      <c r="AR104" s="740">
        <f t="shared" si="87"/>
        <v>0</v>
      </c>
    </row>
    <row r="105" spans="1:50" ht="15" customHeight="1" thickBot="1">
      <c r="A105" s="756" t="s">
        <v>477</v>
      </c>
      <c r="B105" s="756"/>
      <c r="C105" s="869">
        <f>SUM(C96:C104)</f>
        <v>0</v>
      </c>
      <c r="D105" s="1171">
        <f>IF(ISERROR(SUM(D96:D104)/C105),0,((SUM(D96:D104)/C105)))</f>
        <v>0</v>
      </c>
      <c r="E105" s="944">
        <f>SUM(E96:E104)</f>
        <v>0</v>
      </c>
      <c r="F105" s="736">
        <f>IFERROR(E105/C105,0)</f>
        <v>0</v>
      </c>
      <c r="G105" s="801"/>
      <c r="H105" s="801"/>
      <c r="I105" s="871">
        <f>SUM(I96:I104)</f>
        <v>0</v>
      </c>
      <c r="J105" s="1430"/>
      <c r="K105" s="1431"/>
      <c r="L105" s="1432"/>
      <c r="M105" s="754">
        <f>IF(ISERROR(SUM(M96:M104)/I105),0,(SUM(M96:M104)/I105))</f>
        <v>0</v>
      </c>
      <c r="N105" s="754">
        <f>IF(ISERROR(SUM(N96:N104)/I105),0,(SUM(N96:N104)/I105))</f>
        <v>0</v>
      </c>
      <c r="O105" s="754">
        <f>IF(ISERROR(SUM(O96:O104)/I105),0,(SUM(O96:O104)/I105))</f>
        <v>0</v>
      </c>
      <c r="P105" s="754">
        <f>IF(ISERROR(SUM(P96:P104)/I105),0,(SUM(P96:P104)/I105))</f>
        <v>0</v>
      </c>
      <c r="Q105" s="754">
        <f>IF(ISERROR(SUM(Q96:Q104)/I105),0,(SUM(Q96:Q104)/I105))</f>
        <v>0</v>
      </c>
      <c r="R105" s="754">
        <f>IF(ISERROR(SUM(R96:R104)/I105),0,(SUM(R96:R104)/I105))</f>
        <v>0</v>
      </c>
      <c r="S105" s="754">
        <f>IF(ISERROR(SUM(S96:S104)/I105),0,(SUM(S96:S104)/I105))</f>
        <v>0</v>
      </c>
      <c r="T105" s="754">
        <f>IF(ISERROR(SUM(T96:T104)/I105),0,(SUM(T96:T104)/I105))</f>
        <v>0</v>
      </c>
      <c r="U105" s="754">
        <f>IF(ISERROR(SUM(U96:U104)/I105),0,(SUM(U96:U104)/I105))</f>
        <v>0</v>
      </c>
      <c r="V105" s="754">
        <f>IF(ISERROR(SUM(V96:V104)/I105),0,(SUM(V96:V104)/I105))</f>
        <v>0</v>
      </c>
      <c r="W105" s="754">
        <f>IF(ISERROR(SUM(W96:W104)/I105),0,(SUM(W96:W104)/I105))</f>
        <v>0</v>
      </c>
      <c r="X105" s="754">
        <f>SUM(X96:X104)</f>
        <v>0</v>
      </c>
      <c r="Y105" s="736">
        <f>IFERROR(SUM(X105/I105),0)</f>
        <v>0</v>
      </c>
      <c r="Z105" s="1097"/>
      <c r="AA105" s="1011"/>
      <c r="AB105" s="1011"/>
      <c r="AC105" s="1011"/>
      <c r="AD105" s="1011"/>
      <c r="AE105" s="1011"/>
      <c r="AF105" s="1011"/>
      <c r="AG105" s="1011"/>
      <c r="AH105" s="1011"/>
      <c r="AI105" s="1011"/>
      <c r="AJ105" s="1011"/>
      <c r="AK105" s="1011"/>
      <c r="AL105" s="1011"/>
      <c r="AM105" s="1011"/>
      <c r="AN105" s="1011"/>
      <c r="AO105" s="1011"/>
      <c r="AP105" s="1011"/>
      <c r="AQ105" s="1011"/>
      <c r="AR105" s="1011"/>
      <c r="AX105" s="806"/>
    </row>
    <row r="106" spans="1:50" ht="13.5" thickBot="1">
      <c r="D106" s="1175"/>
      <c r="E106" s="758"/>
      <c r="F106" s="759"/>
      <c r="G106" s="745"/>
      <c r="H106" s="745"/>
      <c r="X106" s="756" t="s">
        <v>506</v>
      </c>
      <c r="Y106" s="757" t="str">
        <f>IFERROR(Y105*100/F105-100,"")</f>
        <v/>
      </c>
      <c r="Z106" s="1098"/>
      <c r="AA106" s="737"/>
      <c r="AB106" s="737"/>
      <c r="AC106" s="737"/>
      <c r="AD106" s="737"/>
      <c r="AE106" s="737"/>
      <c r="AF106" s="737"/>
      <c r="AG106" s="737"/>
      <c r="AH106" s="737"/>
      <c r="AI106" s="737"/>
      <c r="AJ106" s="737"/>
      <c r="AK106" s="737"/>
      <c r="AL106" s="737"/>
      <c r="AM106" s="737"/>
      <c r="AN106" s="737"/>
      <c r="AO106" s="737"/>
      <c r="AP106" s="737"/>
      <c r="AQ106" s="737"/>
      <c r="AR106" s="737"/>
    </row>
    <row r="107" spans="1:50" ht="13.5" thickBot="1">
      <c r="A107" s="315" t="s">
        <v>478</v>
      </c>
      <c r="B107" s="315"/>
      <c r="D107" s="934"/>
      <c r="E107" s="934"/>
      <c r="G107" s="315" t="s">
        <v>478</v>
      </c>
      <c r="Z107" s="1092"/>
    </row>
    <row r="108" spans="1:50">
      <c r="A108" s="1187"/>
      <c r="B108" s="1188"/>
      <c r="C108" s="1199"/>
      <c r="D108" s="1039"/>
      <c r="E108" s="1202"/>
      <c r="F108" s="722">
        <f>IF(ISERROR(E108/C108),0,(E108/C108))</f>
        <v>0</v>
      </c>
      <c r="G108" s="1043"/>
      <c r="H108" s="1111"/>
      <c r="I108" s="1062"/>
      <c r="J108" s="1039"/>
      <c r="K108" s="1039"/>
      <c r="L108" s="1046"/>
      <c r="M108" s="1038">
        <f>IFERROR(L108*I108,"")</f>
        <v>0</v>
      </c>
      <c r="N108" s="1039"/>
      <c r="O108" s="1039"/>
      <c r="P108" s="1039"/>
      <c r="Q108" s="1039"/>
      <c r="R108" s="1039"/>
      <c r="S108" s="1039"/>
      <c r="T108" s="1039"/>
      <c r="U108" s="1039"/>
      <c r="V108" s="1039"/>
      <c r="W108" s="1039"/>
      <c r="X108" s="1040">
        <f t="shared" ref="X108:X112" si="92">IFERROR(IF(G108&lt;&gt;"GfB",(SUM(M108:P108,R108,V108)*12+(T108+U108))*(100+$P$12+$P$13)%+((Q108+S108+W108)*12),(SUM(M108:P108,R108,V108)*12+(T108+U108))*(100+$P$15+$P$13)%+((Q108+S108+W108)*12)),0)</f>
        <v>0</v>
      </c>
      <c r="Y108" s="722">
        <f t="shared" ref="Y108:Y112" si="93">IF(ISERROR(X108/I108),0,(X108/I108))</f>
        <v>0</v>
      </c>
      <c r="Z108" s="1096"/>
      <c r="AA108" s="1108">
        <f t="shared" ref="AA108:AA112" si="94">IF(AND($H108="PFK/BFK",$I108&gt;0,$L108&gt;0),($M108+$N108),0)</f>
        <v>0</v>
      </c>
      <c r="AB108" s="740">
        <f t="shared" ref="AB108:AB112" si="95">IF(AND($H108="PFK/BFK",$I108&gt;0,$L108&gt;0),$O108,0)</f>
        <v>0</v>
      </c>
      <c r="AC108" s="740">
        <f t="shared" ref="AC108:AC112" si="96">IF(AND($H108="PFK/BFK",$I108&gt;0,$L108&gt;0),($P108+$Q108),0)</f>
        <v>0</v>
      </c>
      <c r="AD108" s="740">
        <f t="shared" ref="AD108:AD112" si="97">IF(AND($H108="PFK/BFK",$I108&gt;0,$L108&gt;0),(($T108+$U108)/12),0)</f>
        <v>0</v>
      </c>
      <c r="AE108" s="1108">
        <f t="shared" ref="AE108:AE112" si="98">IF(AND($H108="PK/BK",$I108&gt;0,$L108&gt;0),($M108+$N108),0)</f>
        <v>0</v>
      </c>
      <c r="AF108" s="740">
        <f t="shared" ref="AF108:AF112" si="99">IF(AND($H108="PK/BK",$I108&gt;0,$L108&gt;0),$O108,0)</f>
        <v>0</v>
      </c>
      <c r="AG108" s="740">
        <f t="shared" ref="AG108:AG112" si="100">IF(AND($H108="PK/BK",$I108&gt;0,$L108&gt;0),($P108+$Q108),0)</f>
        <v>0</v>
      </c>
      <c r="AH108" s="740">
        <f t="shared" ref="AH108:AH112" si="101">IF(AND($H108="PK/BK",$I108&gt;0,$L108&gt;0),(($T108+$U108)/12),0)</f>
        <v>0</v>
      </c>
      <c r="AI108" s="1108">
        <f t="shared" ref="AI108:AI112" si="102">IF(AND($H108="PK/BK o.",$I108&gt;0,$L108&gt;0),($M108+$N108),0)</f>
        <v>0</v>
      </c>
      <c r="AJ108" s="740">
        <f t="shared" ref="AJ108:AJ112" si="103">IF(AND($H108="PK/BK o.",$I108&gt;0,$L108&gt;0),$O108,0)</f>
        <v>0</v>
      </c>
      <c r="AK108" s="740">
        <f t="shared" ref="AK108:AK112" si="104">IF(AND($H108="PK/BK o.",$I108&gt;0,$L108&gt;0),($P108+$Q108),0)</f>
        <v>0</v>
      </c>
      <c r="AL108" s="740">
        <f t="shared" ref="AL108:AL112" si="105">IF(AND($H108="PK/BK o.",$I108&gt;0,$L108&gt;0),(($T108+$U108)/12),0)</f>
        <v>0</v>
      </c>
      <c r="AM108" s="740">
        <f t="shared" ref="AM108:AM112" si="106">IF(AND($H108="PFK/BFK",$I108&gt;0,$L108&gt;0),$I108,0)</f>
        <v>0</v>
      </c>
      <c r="AN108" s="1108">
        <f t="shared" ref="AN108:AN112" si="107">IF(AND($H108="PK/BK",$I108&gt;0,$L108&gt;0),$I108,0)</f>
        <v>0</v>
      </c>
      <c r="AO108" s="740">
        <f t="shared" ref="AO108:AO112" si="108">IF(AND($H108="PK/BK o.",$I108&gt;0,$L108&gt;0),$I108,0)</f>
        <v>0</v>
      </c>
      <c r="AP108" s="740">
        <f t="shared" ref="AP108:AP112" si="109">IF(AND($H108="PFK/BFK",$I108&gt;0,$L108&gt;0),$X108,0)</f>
        <v>0</v>
      </c>
      <c r="AQ108" s="740">
        <f t="shared" ref="AQ108:AQ112" si="110">IF(AND($H108="PK/BK",$I108&gt;0,$L108&gt;0),$X108,0)</f>
        <v>0</v>
      </c>
      <c r="AR108" s="740">
        <f t="shared" ref="AR108:AR112" si="111">IF(AND($H108="PK/BK o.",$I108&gt;0,$L108&gt;0),$X108,0)</f>
        <v>0</v>
      </c>
    </row>
    <row r="109" spans="1:50">
      <c r="A109" s="1190"/>
      <c r="B109" s="1191"/>
      <c r="C109" s="1200"/>
      <c r="D109" s="727"/>
      <c r="E109" s="1203"/>
      <c r="F109" s="725">
        <f t="shared" ref="F109:F112" si="112">IF(ISERROR(E109/C109),0,(E109/C109))</f>
        <v>0</v>
      </c>
      <c r="G109" s="877"/>
      <c r="H109" s="998"/>
      <c r="I109" s="870"/>
      <c r="J109" s="727"/>
      <c r="K109" s="727"/>
      <c r="L109" s="739"/>
      <c r="M109" s="933">
        <f t="shared" ref="M109:M112" si="113">IFERROR(L109*I109,"")</f>
        <v>0</v>
      </c>
      <c r="N109" s="727"/>
      <c r="O109" s="727"/>
      <c r="P109" s="727"/>
      <c r="Q109" s="727"/>
      <c r="R109" s="727"/>
      <c r="S109" s="727"/>
      <c r="T109" s="727"/>
      <c r="U109" s="727"/>
      <c r="V109" s="727"/>
      <c r="W109" s="727"/>
      <c r="X109" s="740">
        <f t="shared" si="92"/>
        <v>0</v>
      </c>
      <c r="Y109" s="725">
        <f t="shared" si="93"/>
        <v>0</v>
      </c>
      <c r="Z109" s="1096"/>
      <c r="AA109" s="1108">
        <f t="shared" si="94"/>
        <v>0</v>
      </c>
      <c r="AB109" s="740">
        <f t="shared" si="95"/>
        <v>0</v>
      </c>
      <c r="AC109" s="740">
        <f t="shared" si="96"/>
        <v>0</v>
      </c>
      <c r="AD109" s="740">
        <f t="shared" si="97"/>
        <v>0</v>
      </c>
      <c r="AE109" s="1108">
        <f t="shared" si="98"/>
        <v>0</v>
      </c>
      <c r="AF109" s="740">
        <f t="shared" si="99"/>
        <v>0</v>
      </c>
      <c r="AG109" s="740">
        <f t="shared" si="100"/>
        <v>0</v>
      </c>
      <c r="AH109" s="740">
        <f t="shared" si="101"/>
        <v>0</v>
      </c>
      <c r="AI109" s="1108">
        <f t="shared" si="102"/>
        <v>0</v>
      </c>
      <c r="AJ109" s="740">
        <f t="shared" si="103"/>
        <v>0</v>
      </c>
      <c r="AK109" s="740">
        <f t="shared" si="104"/>
        <v>0</v>
      </c>
      <c r="AL109" s="740">
        <f t="shared" si="105"/>
        <v>0</v>
      </c>
      <c r="AM109" s="740">
        <f t="shared" si="106"/>
        <v>0</v>
      </c>
      <c r="AN109" s="1108">
        <f t="shared" si="107"/>
        <v>0</v>
      </c>
      <c r="AO109" s="740">
        <f t="shared" si="108"/>
        <v>0</v>
      </c>
      <c r="AP109" s="740">
        <f t="shared" si="109"/>
        <v>0</v>
      </c>
      <c r="AQ109" s="740">
        <f t="shared" si="110"/>
        <v>0</v>
      </c>
      <c r="AR109" s="740">
        <f t="shared" si="111"/>
        <v>0</v>
      </c>
    </row>
    <row r="110" spans="1:50">
      <c r="A110" s="1190"/>
      <c r="B110" s="1191"/>
      <c r="C110" s="1200"/>
      <c r="D110" s="727"/>
      <c r="E110" s="1203"/>
      <c r="F110" s="725">
        <f t="shared" si="112"/>
        <v>0</v>
      </c>
      <c r="G110" s="877"/>
      <c r="H110" s="998"/>
      <c r="I110" s="870"/>
      <c r="J110" s="727"/>
      <c r="K110" s="727"/>
      <c r="L110" s="739"/>
      <c r="M110" s="933">
        <f t="shared" si="113"/>
        <v>0</v>
      </c>
      <c r="N110" s="727"/>
      <c r="O110" s="727"/>
      <c r="P110" s="727"/>
      <c r="Q110" s="727"/>
      <c r="R110" s="727"/>
      <c r="S110" s="727"/>
      <c r="T110" s="727"/>
      <c r="U110" s="727"/>
      <c r="V110" s="727"/>
      <c r="W110" s="727"/>
      <c r="X110" s="740">
        <f t="shared" si="92"/>
        <v>0</v>
      </c>
      <c r="Y110" s="725">
        <f t="shared" si="93"/>
        <v>0</v>
      </c>
      <c r="Z110" s="1096"/>
      <c r="AA110" s="1108">
        <f t="shared" si="94"/>
        <v>0</v>
      </c>
      <c r="AB110" s="740">
        <f t="shared" si="95"/>
        <v>0</v>
      </c>
      <c r="AC110" s="740">
        <f t="shared" si="96"/>
        <v>0</v>
      </c>
      <c r="AD110" s="740">
        <f t="shared" si="97"/>
        <v>0</v>
      </c>
      <c r="AE110" s="1108">
        <f t="shared" si="98"/>
        <v>0</v>
      </c>
      <c r="AF110" s="740">
        <f t="shared" si="99"/>
        <v>0</v>
      </c>
      <c r="AG110" s="740">
        <f t="shared" si="100"/>
        <v>0</v>
      </c>
      <c r="AH110" s="740">
        <f t="shared" si="101"/>
        <v>0</v>
      </c>
      <c r="AI110" s="1108">
        <f t="shared" si="102"/>
        <v>0</v>
      </c>
      <c r="AJ110" s="740">
        <f t="shared" si="103"/>
        <v>0</v>
      </c>
      <c r="AK110" s="740">
        <f t="shared" si="104"/>
        <v>0</v>
      </c>
      <c r="AL110" s="740">
        <f t="shared" si="105"/>
        <v>0</v>
      </c>
      <c r="AM110" s="740">
        <f t="shared" si="106"/>
        <v>0</v>
      </c>
      <c r="AN110" s="1108">
        <f t="shared" si="107"/>
        <v>0</v>
      </c>
      <c r="AO110" s="740">
        <f t="shared" si="108"/>
        <v>0</v>
      </c>
      <c r="AP110" s="740">
        <f t="shared" si="109"/>
        <v>0</v>
      </c>
      <c r="AQ110" s="740">
        <f t="shared" si="110"/>
        <v>0</v>
      </c>
      <c r="AR110" s="740">
        <f t="shared" si="111"/>
        <v>0</v>
      </c>
    </row>
    <row r="111" spans="1:50">
      <c r="A111" s="1193"/>
      <c r="B111" s="1194"/>
      <c r="C111" s="1204"/>
      <c r="D111" s="729"/>
      <c r="E111" s="1205"/>
      <c r="F111" s="725">
        <f t="shared" si="112"/>
        <v>0</v>
      </c>
      <c r="G111" s="877"/>
      <c r="H111" s="998"/>
      <c r="I111" s="870"/>
      <c r="J111" s="727"/>
      <c r="K111" s="727"/>
      <c r="L111" s="739"/>
      <c r="M111" s="933">
        <f t="shared" si="113"/>
        <v>0</v>
      </c>
      <c r="N111" s="727"/>
      <c r="O111" s="727"/>
      <c r="P111" s="727"/>
      <c r="Q111" s="727"/>
      <c r="R111" s="727"/>
      <c r="S111" s="727"/>
      <c r="T111" s="727"/>
      <c r="U111" s="727"/>
      <c r="V111" s="727"/>
      <c r="W111" s="727"/>
      <c r="X111" s="740">
        <f t="shared" si="92"/>
        <v>0</v>
      </c>
      <c r="Y111" s="725">
        <f t="shared" si="93"/>
        <v>0</v>
      </c>
      <c r="Z111" s="1096"/>
      <c r="AA111" s="1108">
        <f t="shared" si="94"/>
        <v>0</v>
      </c>
      <c r="AB111" s="740">
        <f t="shared" si="95"/>
        <v>0</v>
      </c>
      <c r="AC111" s="740">
        <f t="shared" si="96"/>
        <v>0</v>
      </c>
      <c r="AD111" s="740">
        <f t="shared" si="97"/>
        <v>0</v>
      </c>
      <c r="AE111" s="1108">
        <f t="shared" si="98"/>
        <v>0</v>
      </c>
      <c r="AF111" s="740">
        <f t="shared" si="99"/>
        <v>0</v>
      </c>
      <c r="AG111" s="740">
        <f t="shared" si="100"/>
        <v>0</v>
      </c>
      <c r="AH111" s="740">
        <f t="shared" si="101"/>
        <v>0</v>
      </c>
      <c r="AI111" s="1108">
        <f t="shared" si="102"/>
        <v>0</v>
      </c>
      <c r="AJ111" s="740">
        <f t="shared" si="103"/>
        <v>0</v>
      </c>
      <c r="AK111" s="740">
        <f t="shared" si="104"/>
        <v>0</v>
      </c>
      <c r="AL111" s="740">
        <f t="shared" si="105"/>
        <v>0</v>
      </c>
      <c r="AM111" s="740">
        <f t="shared" si="106"/>
        <v>0</v>
      </c>
      <c r="AN111" s="1108">
        <f t="shared" si="107"/>
        <v>0</v>
      </c>
      <c r="AO111" s="740">
        <f t="shared" si="108"/>
        <v>0</v>
      </c>
      <c r="AP111" s="740">
        <f t="shared" si="109"/>
        <v>0</v>
      </c>
      <c r="AQ111" s="740">
        <f t="shared" si="110"/>
        <v>0</v>
      </c>
      <c r="AR111" s="740">
        <f t="shared" si="111"/>
        <v>0</v>
      </c>
    </row>
    <row r="112" spans="1:50" ht="13.5" thickBot="1">
      <c r="A112" s="1196"/>
      <c r="B112" s="1197"/>
      <c r="C112" s="1201"/>
      <c r="D112" s="729"/>
      <c r="E112" s="1205"/>
      <c r="F112" s="730">
        <f t="shared" si="112"/>
        <v>0</v>
      </c>
      <c r="G112" s="1048"/>
      <c r="H112" s="1049"/>
      <c r="I112" s="1063"/>
      <c r="J112" s="1053"/>
      <c r="K112" s="1053"/>
      <c r="L112" s="1051"/>
      <c r="M112" s="1052">
        <f t="shared" si="113"/>
        <v>0</v>
      </c>
      <c r="N112" s="1053"/>
      <c r="O112" s="1053"/>
      <c r="P112" s="1053"/>
      <c r="Q112" s="1053"/>
      <c r="R112" s="1053"/>
      <c r="S112" s="1053"/>
      <c r="T112" s="1053"/>
      <c r="U112" s="1053"/>
      <c r="V112" s="1053"/>
      <c r="W112" s="1053"/>
      <c r="X112" s="1054">
        <f t="shared" si="92"/>
        <v>0</v>
      </c>
      <c r="Y112" s="1055">
        <f t="shared" si="93"/>
        <v>0</v>
      </c>
      <c r="Z112" s="1096"/>
      <c r="AA112" s="1108">
        <f t="shared" si="94"/>
        <v>0</v>
      </c>
      <c r="AB112" s="740">
        <f t="shared" si="95"/>
        <v>0</v>
      </c>
      <c r="AC112" s="740">
        <f t="shared" si="96"/>
        <v>0</v>
      </c>
      <c r="AD112" s="740">
        <f t="shared" si="97"/>
        <v>0</v>
      </c>
      <c r="AE112" s="1108">
        <f t="shared" si="98"/>
        <v>0</v>
      </c>
      <c r="AF112" s="740">
        <f t="shared" si="99"/>
        <v>0</v>
      </c>
      <c r="AG112" s="740">
        <f t="shared" si="100"/>
        <v>0</v>
      </c>
      <c r="AH112" s="740">
        <f t="shared" si="101"/>
        <v>0</v>
      </c>
      <c r="AI112" s="1108">
        <f t="shared" si="102"/>
        <v>0</v>
      </c>
      <c r="AJ112" s="740">
        <f t="shared" si="103"/>
        <v>0</v>
      </c>
      <c r="AK112" s="740">
        <f t="shared" si="104"/>
        <v>0</v>
      </c>
      <c r="AL112" s="740">
        <f t="shared" si="105"/>
        <v>0</v>
      </c>
      <c r="AM112" s="740">
        <f t="shared" si="106"/>
        <v>0</v>
      </c>
      <c r="AN112" s="1108">
        <f t="shared" si="107"/>
        <v>0</v>
      </c>
      <c r="AO112" s="740">
        <f t="shared" si="108"/>
        <v>0</v>
      </c>
      <c r="AP112" s="740">
        <f t="shared" si="109"/>
        <v>0</v>
      </c>
      <c r="AQ112" s="740">
        <f t="shared" si="110"/>
        <v>0</v>
      </c>
      <c r="AR112" s="740">
        <f t="shared" si="111"/>
        <v>0</v>
      </c>
    </row>
    <row r="113" spans="1:50" ht="15" customHeight="1" thickBot="1">
      <c r="A113" s="721" t="s">
        <v>479</v>
      </c>
      <c r="B113" s="721"/>
      <c r="C113" s="869">
        <f>SUM(C108:C112)</f>
        <v>0</v>
      </c>
      <c r="D113" s="1171">
        <f>IF(ISERROR(SUM(D108:D112)/C113),0,((SUM(D108:D112)/C113)))</f>
        <v>0</v>
      </c>
      <c r="E113" s="944">
        <f>SUM(E108:E112)</f>
        <v>0</v>
      </c>
      <c r="F113" s="736">
        <f>IFERROR(E113/C113,0)</f>
        <v>0</v>
      </c>
      <c r="G113" s="856"/>
      <c r="H113" s="856"/>
      <c r="I113" s="1059">
        <f>SUM(I108:I112)</f>
        <v>0</v>
      </c>
      <c r="J113" s="1436"/>
      <c r="K113" s="1437"/>
      <c r="L113" s="1438"/>
      <c r="M113" s="1060">
        <f>IF(ISERROR(SUM(M108:M112)/I113),0,(SUM(M108:M112)/I113))</f>
        <v>0</v>
      </c>
      <c r="N113" s="1060">
        <f>IF(ISERROR(SUM(N108:N112)/I113),0,(SUM(N108:N112)/I113))</f>
        <v>0</v>
      </c>
      <c r="O113" s="1060">
        <f>IF(ISERROR(SUM(O108:O112)/I113),0,(SUM(O108:O112)/I113))</f>
        <v>0</v>
      </c>
      <c r="P113" s="1060">
        <f>IF(ISERROR(SUM(P108:P112)/I113),0,(SUM(P108:P112)/I113))</f>
        <v>0</v>
      </c>
      <c r="Q113" s="1060">
        <f>IF(ISERROR(SUM(Q108:Q112)/I113),0,(SUM(Q108:Q112)/I113))</f>
        <v>0</v>
      </c>
      <c r="R113" s="1060">
        <f>IF(ISERROR(SUM(R108:R112)/I113),0,(SUM(R108:R112)/I113))</f>
        <v>0</v>
      </c>
      <c r="S113" s="1060">
        <f>IF(ISERROR(SUM(S108:S112)/I113),0,(SUM(S108:S112)/I113))</f>
        <v>0</v>
      </c>
      <c r="T113" s="1060">
        <f>IF(ISERROR(SUM(T108:T112)/I113),0,(SUM(T108:T112)/I113))</f>
        <v>0</v>
      </c>
      <c r="U113" s="1060">
        <f>IF(ISERROR(SUM(U108:U112)/I113),0,(SUM(U108:U112)/I113))</f>
        <v>0</v>
      </c>
      <c r="V113" s="1060">
        <f>IF(ISERROR(SUM(V108:V112)/I113),0,(SUM(V108:V112)/I113))</f>
        <v>0</v>
      </c>
      <c r="W113" s="1060">
        <f>IF(ISERROR(SUM(W108:W112)/I113),0,(SUM(W108:W112)/I113))</f>
        <v>0</v>
      </c>
      <c r="X113" s="1060">
        <f>SUM(X108:X112)</f>
        <v>0</v>
      </c>
      <c r="Y113" s="1061">
        <f>IFERROR(SUM(X113/I113),0)</f>
        <v>0</v>
      </c>
      <c r="Z113" s="1097"/>
      <c r="AA113" s="1011"/>
      <c r="AB113" s="1011"/>
      <c r="AC113" s="1011"/>
      <c r="AD113" s="1011"/>
      <c r="AE113" s="1011"/>
      <c r="AF113" s="1011"/>
      <c r="AG113" s="1011"/>
      <c r="AH113" s="1011"/>
      <c r="AI113" s="1011"/>
      <c r="AJ113" s="1011"/>
      <c r="AK113" s="1011"/>
      <c r="AL113" s="1011"/>
      <c r="AM113" s="1011"/>
      <c r="AN113" s="1011"/>
      <c r="AO113" s="1011"/>
      <c r="AP113" s="1011"/>
      <c r="AQ113" s="1011"/>
      <c r="AR113" s="1011"/>
    </row>
    <row r="114" spans="1:50" ht="13.5" thickBot="1">
      <c r="D114" s="1175"/>
      <c r="E114" s="758"/>
      <c r="F114" s="759"/>
      <c r="G114" s="745"/>
      <c r="H114" s="745"/>
      <c r="X114" s="756" t="s">
        <v>506</v>
      </c>
      <c r="Y114" s="757" t="str">
        <f>IFERROR(Y113*100/F113-100,"")</f>
        <v/>
      </c>
      <c r="Z114" s="1098"/>
      <c r="AA114" s="737"/>
      <c r="AB114" s="737"/>
      <c r="AC114" s="737"/>
      <c r="AD114" s="737"/>
      <c r="AE114" s="737"/>
      <c r="AF114" s="737"/>
      <c r="AG114" s="737"/>
      <c r="AH114" s="737"/>
      <c r="AI114" s="737"/>
      <c r="AJ114" s="737"/>
      <c r="AK114" s="737"/>
      <c r="AL114" s="737"/>
      <c r="AM114" s="737"/>
      <c r="AN114" s="737"/>
      <c r="AO114" s="737"/>
      <c r="AP114" s="737"/>
      <c r="AQ114" s="737"/>
      <c r="AR114" s="737"/>
    </row>
    <row r="115" spans="1:50" ht="13.5" thickBot="1">
      <c r="A115" s="315" t="s">
        <v>480</v>
      </c>
      <c r="B115" s="315"/>
      <c r="D115" s="934"/>
      <c r="E115" s="934"/>
      <c r="G115" s="315" t="s">
        <v>480</v>
      </c>
      <c r="Z115" s="1092"/>
    </row>
    <row r="116" spans="1:50">
      <c r="A116" s="1187"/>
      <c r="B116" s="1188"/>
      <c r="C116" s="1199"/>
      <c r="D116" s="1039"/>
      <c r="E116" s="1202"/>
      <c r="F116" s="760">
        <f>IF(ISERROR(E116/C116),0,(E116/C116))</f>
        <v>0</v>
      </c>
      <c r="G116" s="1043"/>
      <c r="H116" s="1044"/>
      <c r="I116" s="1062"/>
      <c r="J116" s="1039"/>
      <c r="K116" s="1039"/>
      <c r="L116" s="1046"/>
      <c r="M116" s="1038">
        <f t="shared" ref="M116" si="114">IFERROR(L116*I116,"")</f>
        <v>0</v>
      </c>
      <c r="N116" s="1039"/>
      <c r="O116" s="1039"/>
      <c r="P116" s="1039"/>
      <c r="Q116" s="1039"/>
      <c r="R116" s="1039"/>
      <c r="S116" s="1039"/>
      <c r="T116" s="1039"/>
      <c r="U116" s="1039"/>
      <c r="V116" s="1039"/>
      <c r="W116" s="1039"/>
      <c r="X116" s="1040">
        <f t="shared" ref="X116:X124" si="115">IFERROR(IF(G116&lt;&gt;"GfB",(SUM(M116:P116,R116,V116)*12+(T116+U116))*(100+$P$12+$P$13)%+((Q116+S116+W116)*12),(SUM(M116:P116,R116,V116)*12+(T116+U116))*(100+$P$15+$P$13)%+((Q116+S116+W116)*12)),0)</f>
        <v>0</v>
      </c>
      <c r="Y116" s="722">
        <f t="shared" ref="Y116:Y124" si="116">IF(ISERROR(X116/I116),0,(X116/I116))</f>
        <v>0</v>
      </c>
      <c r="Z116" s="1096"/>
      <c r="AA116" s="1108">
        <f t="shared" ref="AA116:AA124" si="117">IF(AND($H116="PFK/BFK",$I116&gt;0,$L116&gt;0),($M116+$N116),0)</f>
        <v>0</v>
      </c>
      <c r="AB116" s="740">
        <f t="shared" ref="AB116:AB124" si="118">IF(AND($H116="PFK/BFK",$I116&gt;0,$L116&gt;0),$O116,0)</f>
        <v>0</v>
      </c>
      <c r="AC116" s="740">
        <f t="shared" ref="AC116:AC124" si="119">IF(AND($H116="PFK/BFK",$I116&gt;0,$L116&gt;0),($P116+$Q116),0)</f>
        <v>0</v>
      </c>
      <c r="AD116" s="740">
        <f t="shared" ref="AD116:AD124" si="120">IF(AND($H116="PFK/BFK",$I116&gt;0,$L116&gt;0),(($T116+$U116)/12),0)</f>
        <v>0</v>
      </c>
      <c r="AE116" s="1108">
        <f t="shared" ref="AE116:AE124" si="121">IF(AND($H116="PK/BK",$I116&gt;0,$L116&gt;0),($M116+$N116),0)</f>
        <v>0</v>
      </c>
      <c r="AF116" s="740">
        <f t="shared" ref="AF116:AF124" si="122">IF(AND($H116="PK/BK",$I116&gt;0,$L116&gt;0),$O116,0)</f>
        <v>0</v>
      </c>
      <c r="AG116" s="740">
        <f t="shared" ref="AG116:AG124" si="123">IF(AND($H116="PK/BK",$I116&gt;0,$L116&gt;0),($P116+$Q116),0)</f>
        <v>0</v>
      </c>
      <c r="AH116" s="740">
        <f t="shared" ref="AH116:AH124" si="124">IF(AND($H116="PK/BK",$I116&gt;0,$L116&gt;0),(($T116+$U116)/12),0)</f>
        <v>0</v>
      </c>
      <c r="AI116" s="1108">
        <f t="shared" ref="AI116:AI124" si="125">IF(AND($H116="PK/BK o.",$I116&gt;0,$L116&gt;0),($M116+$N116),0)</f>
        <v>0</v>
      </c>
      <c r="AJ116" s="740">
        <f t="shared" ref="AJ116:AJ124" si="126">IF(AND($H116="PK/BK o.",$I116&gt;0,$L116&gt;0),$O116,0)</f>
        <v>0</v>
      </c>
      <c r="AK116" s="740">
        <f t="shared" ref="AK116:AK124" si="127">IF(AND($H116="PK/BK o.",$I116&gt;0,$L116&gt;0),($P116+$Q116),0)</f>
        <v>0</v>
      </c>
      <c r="AL116" s="740">
        <f t="shared" ref="AL116:AL124" si="128">IF(AND($H116="PK/BK o.",$I116&gt;0,$L116&gt;0),(($T116+$U116)/12),0)</f>
        <v>0</v>
      </c>
      <c r="AM116" s="740">
        <f t="shared" ref="AM116:AM124" si="129">IF(AND($H116="PFK/BFK",$I116&gt;0,$L116&gt;0),$I116,0)</f>
        <v>0</v>
      </c>
      <c r="AN116" s="1108">
        <f t="shared" ref="AN116:AN124" si="130">IF(AND($H116="PK/BK",$I116&gt;0,$L116&gt;0),$I116,0)</f>
        <v>0</v>
      </c>
      <c r="AO116" s="740">
        <f t="shared" ref="AO116:AO124" si="131">IF(AND($H116="PK/BK o.",$I116&gt;0,$L116&gt;0),$I116,0)</f>
        <v>0</v>
      </c>
      <c r="AP116" s="740">
        <f t="shared" ref="AP116:AP124" si="132">IF(AND($H116="PFK/BFK",$I116&gt;0,$L116&gt;0),$X116,0)</f>
        <v>0</v>
      </c>
      <c r="AQ116" s="740">
        <f t="shared" ref="AQ116:AQ124" si="133">IF(AND($H116="PK/BK",$I116&gt;0,$L116&gt;0),$X116,0)</f>
        <v>0</v>
      </c>
      <c r="AR116" s="740">
        <f t="shared" ref="AR116:AR124" si="134">IF(AND($H116="PK/BK o.",$I116&gt;0,$L116&gt;0),$X116,0)</f>
        <v>0</v>
      </c>
    </row>
    <row r="117" spans="1:50">
      <c r="A117" s="1190"/>
      <c r="B117" s="1191"/>
      <c r="C117" s="1200"/>
      <c r="D117" s="727"/>
      <c r="E117" s="1203"/>
      <c r="F117" s="761">
        <f t="shared" ref="F117:F124" si="135">IF(ISERROR(E117/C117),0,(E117/C117))</f>
        <v>0</v>
      </c>
      <c r="G117" s="877"/>
      <c r="H117" s="998"/>
      <c r="I117" s="870"/>
      <c r="J117" s="727"/>
      <c r="K117" s="727"/>
      <c r="L117" s="739"/>
      <c r="M117" s="933">
        <f t="shared" ref="M117:M124" si="136">IFERROR(L117*I117,"")</f>
        <v>0</v>
      </c>
      <c r="N117" s="727"/>
      <c r="O117" s="727"/>
      <c r="P117" s="727"/>
      <c r="Q117" s="727"/>
      <c r="R117" s="727"/>
      <c r="S117" s="727"/>
      <c r="T117" s="727"/>
      <c r="U117" s="727"/>
      <c r="V117" s="727"/>
      <c r="W117" s="727"/>
      <c r="X117" s="740">
        <f t="shared" si="115"/>
        <v>0</v>
      </c>
      <c r="Y117" s="725">
        <f t="shared" si="116"/>
        <v>0</v>
      </c>
      <c r="Z117" s="1096"/>
      <c r="AA117" s="1108">
        <f t="shared" si="117"/>
        <v>0</v>
      </c>
      <c r="AB117" s="740">
        <f t="shared" si="118"/>
        <v>0</v>
      </c>
      <c r="AC117" s="740">
        <f t="shared" si="119"/>
        <v>0</v>
      </c>
      <c r="AD117" s="740">
        <f t="shared" si="120"/>
        <v>0</v>
      </c>
      <c r="AE117" s="1108">
        <f t="shared" si="121"/>
        <v>0</v>
      </c>
      <c r="AF117" s="740">
        <f t="shared" si="122"/>
        <v>0</v>
      </c>
      <c r="AG117" s="740">
        <f t="shared" si="123"/>
        <v>0</v>
      </c>
      <c r="AH117" s="740">
        <f t="shared" si="124"/>
        <v>0</v>
      </c>
      <c r="AI117" s="1108">
        <f t="shared" si="125"/>
        <v>0</v>
      </c>
      <c r="AJ117" s="740">
        <f t="shared" si="126"/>
        <v>0</v>
      </c>
      <c r="AK117" s="740">
        <f t="shared" si="127"/>
        <v>0</v>
      </c>
      <c r="AL117" s="740">
        <f t="shared" si="128"/>
        <v>0</v>
      </c>
      <c r="AM117" s="740">
        <f t="shared" si="129"/>
        <v>0</v>
      </c>
      <c r="AN117" s="1108">
        <f t="shared" si="130"/>
        <v>0</v>
      </c>
      <c r="AO117" s="740">
        <f t="shared" si="131"/>
        <v>0</v>
      </c>
      <c r="AP117" s="740">
        <f t="shared" si="132"/>
        <v>0</v>
      </c>
      <c r="AQ117" s="740">
        <f t="shared" si="133"/>
        <v>0</v>
      </c>
      <c r="AR117" s="740">
        <f t="shared" si="134"/>
        <v>0</v>
      </c>
    </row>
    <row r="118" spans="1:50">
      <c r="A118" s="1190"/>
      <c r="B118" s="1191"/>
      <c r="C118" s="1200"/>
      <c r="D118" s="727"/>
      <c r="E118" s="1203"/>
      <c r="F118" s="761">
        <f t="shared" si="135"/>
        <v>0</v>
      </c>
      <c r="G118" s="877"/>
      <c r="H118" s="998"/>
      <c r="I118" s="870"/>
      <c r="J118" s="727"/>
      <c r="K118" s="727"/>
      <c r="L118" s="739"/>
      <c r="M118" s="933">
        <f t="shared" si="136"/>
        <v>0</v>
      </c>
      <c r="N118" s="727"/>
      <c r="O118" s="727"/>
      <c r="P118" s="727"/>
      <c r="Q118" s="727"/>
      <c r="R118" s="727"/>
      <c r="S118" s="727"/>
      <c r="T118" s="727"/>
      <c r="U118" s="727"/>
      <c r="V118" s="727"/>
      <c r="W118" s="727"/>
      <c r="X118" s="740">
        <f t="shared" si="115"/>
        <v>0</v>
      </c>
      <c r="Y118" s="725">
        <f t="shared" si="116"/>
        <v>0</v>
      </c>
      <c r="Z118" s="1096"/>
      <c r="AA118" s="1108">
        <f t="shared" si="117"/>
        <v>0</v>
      </c>
      <c r="AB118" s="740">
        <f t="shared" si="118"/>
        <v>0</v>
      </c>
      <c r="AC118" s="740">
        <f t="shared" si="119"/>
        <v>0</v>
      </c>
      <c r="AD118" s="740">
        <f t="shared" si="120"/>
        <v>0</v>
      </c>
      <c r="AE118" s="1108">
        <f t="shared" si="121"/>
        <v>0</v>
      </c>
      <c r="AF118" s="740">
        <f t="shared" si="122"/>
        <v>0</v>
      </c>
      <c r="AG118" s="740">
        <f t="shared" si="123"/>
        <v>0</v>
      </c>
      <c r="AH118" s="740">
        <f t="shared" si="124"/>
        <v>0</v>
      </c>
      <c r="AI118" s="1108">
        <f t="shared" si="125"/>
        <v>0</v>
      </c>
      <c r="AJ118" s="740">
        <f t="shared" si="126"/>
        <v>0</v>
      </c>
      <c r="AK118" s="740">
        <f t="shared" si="127"/>
        <v>0</v>
      </c>
      <c r="AL118" s="740">
        <f t="shared" si="128"/>
        <v>0</v>
      </c>
      <c r="AM118" s="740">
        <f t="shared" si="129"/>
        <v>0</v>
      </c>
      <c r="AN118" s="1108">
        <f t="shared" si="130"/>
        <v>0</v>
      </c>
      <c r="AO118" s="740">
        <f t="shared" si="131"/>
        <v>0</v>
      </c>
      <c r="AP118" s="740">
        <f t="shared" si="132"/>
        <v>0</v>
      </c>
      <c r="AQ118" s="740">
        <f t="shared" si="133"/>
        <v>0</v>
      </c>
      <c r="AR118" s="740">
        <f t="shared" si="134"/>
        <v>0</v>
      </c>
    </row>
    <row r="119" spans="1:50">
      <c r="A119" s="1190"/>
      <c r="B119" s="1191"/>
      <c r="C119" s="1200"/>
      <c r="D119" s="727"/>
      <c r="E119" s="1203"/>
      <c r="F119" s="725">
        <f t="shared" si="135"/>
        <v>0</v>
      </c>
      <c r="G119" s="877"/>
      <c r="H119" s="998"/>
      <c r="I119" s="870"/>
      <c r="J119" s="727"/>
      <c r="K119" s="727"/>
      <c r="L119" s="739"/>
      <c r="M119" s="933">
        <f t="shared" si="136"/>
        <v>0</v>
      </c>
      <c r="N119" s="727"/>
      <c r="O119" s="727"/>
      <c r="P119" s="727"/>
      <c r="Q119" s="727"/>
      <c r="R119" s="727"/>
      <c r="S119" s="727"/>
      <c r="T119" s="727"/>
      <c r="U119" s="727"/>
      <c r="V119" s="727"/>
      <c r="W119" s="727"/>
      <c r="X119" s="740">
        <f t="shared" si="115"/>
        <v>0</v>
      </c>
      <c r="Y119" s="725">
        <f t="shared" si="116"/>
        <v>0</v>
      </c>
      <c r="Z119" s="1096"/>
      <c r="AA119" s="1108">
        <f t="shared" si="117"/>
        <v>0</v>
      </c>
      <c r="AB119" s="740">
        <f t="shared" si="118"/>
        <v>0</v>
      </c>
      <c r="AC119" s="740">
        <f t="shared" si="119"/>
        <v>0</v>
      </c>
      <c r="AD119" s="740">
        <f t="shared" si="120"/>
        <v>0</v>
      </c>
      <c r="AE119" s="1108">
        <f t="shared" si="121"/>
        <v>0</v>
      </c>
      <c r="AF119" s="740">
        <f t="shared" si="122"/>
        <v>0</v>
      </c>
      <c r="AG119" s="740">
        <f t="shared" si="123"/>
        <v>0</v>
      </c>
      <c r="AH119" s="740">
        <f t="shared" si="124"/>
        <v>0</v>
      </c>
      <c r="AI119" s="1108">
        <f t="shared" si="125"/>
        <v>0</v>
      </c>
      <c r="AJ119" s="740">
        <f t="shared" si="126"/>
        <v>0</v>
      </c>
      <c r="AK119" s="740">
        <f t="shared" si="127"/>
        <v>0</v>
      </c>
      <c r="AL119" s="740">
        <f t="shared" si="128"/>
        <v>0</v>
      </c>
      <c r="AM119" s="740">
        <f t="shared" si="129"/>
        <v>0</v>
      </c>
      <c r="AN119" s="1108">
        <f t="shared" si="130"/>
        <v>0</v>
      </c>
      <c r="AO119" s="740">
        <f t="shared" si="131"/>
        <v>0</v>
      </c>
      <c r="AP119" s="740">
        <f t="shared" si="132"/>
        <v>0</v>
      </c>
      <c r="AQ119" s="740">
        <f t="shared" si="133"/>
        <v>0</v>
      </c>
      <c r="AR119" s="740">
        <f t="shared" si="134"/>
        <v>0</v>
      </c>
    </row>
    <row r="120" spans="1:50">
      <c r="A120" s="1190"/>
      <c r="B120" s="1191"/>
      <c r="C120" s="1200"/>
      <c r="D120" s="727"/>
      <c r="E120" s="1203"/>
      <c r="F120" s="725">
        <f t="shared" si="135"/>
        <v>0</v>
      </c>
      <c r="G120" s="877"/>
      <c r="H120" s="998"/>
      <c r="I120" s="870"/>
      <c r="J120" s="727"/>
      <c r="K120" s="727"/>
      <c r="L120" s="739"/>
      <c r="M120" s="933">
        <f t="shared" si="136"/>
        <v>0</v>
      </c>
      <c r="N120" s="727"/>
      <c r="O120" s="727"/>
      <c r="P120" s="727"/>
      <c r="Q120" s="727"/>
      <c r="R120" s="727"/>
      <c r="S120" s="727"/>
      <c r="T120" s="727"/>
      <c r="U120" s="727"/>
      <c r="V120" s="727"/>
      <c r="W120" s="727"/>
      <c r="X120" s="740">
        <f t="shared" si="115"/>
        <v>0</v>
      </c>
      <c r="Y120" s="725">
        <f t="shared" si="116"/>
        <v>0</v>
      </c>
      <c r="Z120" s="1096"/>
      <c r="AA120" s="1108">
        <f t="shared" si="117"/>
        <v>0</v>
      </c>
      <c r="AB120" s="740">
        <f t="shared" si="118"/>
        <v>0</v>
      </c>
      <c r="AC120" s="740">
        <f t="shared" si="119"/>
        <v>0</v>
      </c>
      <c r="AD120" s="740">
        <f t="shared" si="120"/>
        <v>0</v>
      </c>
      <c r="AE120" s="1108">
        <f t="shared" si="121"/>
        <v>0</v>
      </c>
      <c r="AF120" s="740">
        <f t="shared" si="122"/>
        <v>0</v>
      </c>
      <c r="AG120" s="740">
        <f t="shared" si="123"/>
        <v>0</v>
      </c>
      <c r="AH120" s="740">
        <f t="shared" si="124"/>
        <v>0</v>
      </c>
      <c r="AI120" s="1108">
        <f t="shared" si="125"/>
        <v>0</v>
      </c>
      <c r="AJ120" s="740">
        <f t="shared" si="126"/>
        <v>0</v>
      </c>
      <c r="AK120" s="740">
        <f t="shared" si="127"/>
        <v>0</v>
      </c>
      <c r="AL120" s="740">
        <f t="shared" si="128"/>
        <v>0</v>
      </c>
      <c r="AM120" s="740">
        <f t="shared" si="129"/>
        <v>0</v>
      </c>
      <c r="AN120" s="1108">
        <f t="shared" si="130"/>
        <v>0</v>
      </c>
      <c r="AO120" s="740">
        <f t="shared" si="131"/>
        <v>0</v>
      </c>
      <c r="AP120" s="740">
        <f t="shared" si="132"/>
        <v>0</v>
      </c>
      <c r="AQ120" s="740">
        <f t="shared" si="133"/>
        <v>0</v>
      </c>
      <c r="AR120" s="740">
        <f t="shared" si="134"/>
        <v>0</v>
      </c>
    </row>
    <row r="121" spans="1:50">
      <c r="A121" s="1190"/>
      <c r="B121" s="1191"/>
      <c r="C121" s="1200"/>
      <c r="D121" s="727"/>
      <c r="E121" s="1203"/>
      <c r="F121" s="725">
        <f t="shared" si="135"/>
        <v>0</v>
      </c>
      <c r="G121" s="877"/>
      <c r="H121" s="998"/>
      <c r="I121" s="870"/>
      <c r="J121" s="727"/>
      <c r="K121" s="727"/>
      <c r="L121" s="739"/>
      <c r="M121" s="933">
        <f t="shared" si="136"/>
        <v>0</v>
      </c>
      <c r="N121" s="727"/>
      <c r="O121" s="727"/>
      <c r="P121" s="727"/>
      <c r="Q121" s="727"/>
      <c r="R121" s="727"/>
      <c r="S121" s="727"/>
      <c r="T121" s="727"/>
      <c r="U121" s="727"/>
      <c r="V121" s="727"/>
      <c r="W121" s="727"/>
      <c r="X121" s="740">
        <f t="shared" si="115"/>
        <v>0</v>
      </c>
      <c r="Y121" s="725">
        <f t="shared" si="116"/>
        <v>0</v>
      </c>
      <c r="Z121" s="1096"/>
      <c r="AA121" s="1108">
        <f t="shared" si="117"/>
        <v>0</v>
      </c>
      <c r="AB121" s="740">
        <f t="shared" si="118"/>
        <v>0</v>
      </c>
      <c r="AC121" s="740">
        <f t="shared" si="119"/>
        <v>0</v>
      </c>
      <c r="AD121" s="740">
        <f t="shared" si="120"/>
        <v>0</v>
      </c>
      <c r="AE121" s="1108">
        <f t="shared" si="121"/>
        <v>0</v>
      </c>
      <c r="AF121" s="740">
        <f t="shared" si="122"/>
        <v>0</v>
      </c>
      <c r="AG121" s="740">
        <f t="shared" si="123"/>
        <v>0</v>
      </c>
      <c r="AH121" s="740">
        <f t="shared" si="124"/>
        <v>0</v>
      </c>
      <c r="AI121" s="1108">
        <f t="shared" si="125"/>
        <v>0</v>
      </c>
      <c r="AJ121" s="740">
        <f t="shared" si="126"/>
        <v>0</v>
      </c>
      <c r="AK121" s="740">
        <f t="shared" si="127"/>
        <v>0</v>
      </c>
      <c r="AL121" s="740">
        <f t="shared" si="128"/>
        <v>0</v>
      </c>
      <c r="AM121" s="740">
        <f t="shared" si="129"/>
        <v>0</v>
      </c>
      <c r="AN121" s="1108">
        <f t="shared" si="130"/>
        <v>0</v>
      </c>
      <c r="AO121" s="740">
        <f t="shared" si="131"/>
        <v>0</v>
      </c>
      <c r="AP121" s="740">
        <f t="shared" si="132"/>
        <v>0</v>
      </c>
      <c r="AQ121" s="740">
        <f t="shared" si="133"/>
        <v>0</v>
      </c>
      <c r="AR121" s="740">
        <f t="shared" si="134"/>
        <v>0</v>
      </c>
    </row>
    <row r="122" spans="1:50">
      <c r="A122" s="1190"/>
      <c r="B122" s="1191"/>
      <c r="C122" s="1200"/>
      <c r="D122" s="727"/>
      <c r="E122" s="1203"/>
      <c r="F122" s="725">
        <f t="shared" si="135"/>
        <v>0</v>
      </c>
      <c r="G122" s="877"/>
      <c r="H122" s="998"/>
      <c r="I122" s="870"/>
      <c r="J122" s="727"/>
      <c r="K122" s="727"/>
      <c r="L122" s="739"/>
      <c r="M122" s="933">
        <f t="shared" si="136"/>
        <v>0</v>
      </c>
      <c r="N122" s="727"/>
      <c r="O122" s="727"/>
      <c r="P122" s="727"/>
      <c r="Q122" s="727"/>
      <c r="R122" s="727"/>
      <c r="S122" s="727"/>
      <c r="T122" s="727"/>
      <c r="U122" s="727"/>
      <c r="V122" s="727"/>
      <c r="W122" s="727"/>
      <c r="X122" s="740">
        <f t="shared" si="115"/>
        <v>0</v>
      </c>
      <c r="Y122" s="725">
        <f t="shared" si="116"/>
        <v>0</v>
      </c>
      <c r="Z122" s="1096"/>
      <c r="AA122" s="1108">
        <f t="shared" si="117"/>
        <v>0</v>
      </c>
      <c r="AB122" s="740">
        <f t="shared" si="118"/>
        <v>0</v>
      </c>
      <c r="AC122" s="740">
        <f t="shared" si="119"/>
        <v>0</v>
      </c>
      <c r="AD122" s="740">
        <f t="shared" si="120"/>
        <v>0</v>
      </c>
      <c r="AE122" s="1108">
        <f t="shared" si="121"/>
        <v>0</v>
      </c>
      <c r="AF122" s="740">
        <f t="shared" si="122"/>
        <v>0</v>
      </c>
      <c r="AG122" s="740">
        <f t="shared" si="123"/>
        <v>0</v>
      </c>
      <c r="AH122" s="740">
        <f t="shared" si="124"/>
        <v>0</v>
      </c>
      <c r="AI122" s="1108">
        <f t="shared" si="125"/>
        <v>0</v>
      </c>
      <c r="AJ122" s="740">
        <f t="shared" si="126"/>
        <v>0</v>
      </c>
      <c r="AK122" s="740">
        <f t="shared" si="127"/>
        <v>0</v>
      </c>
      <c r="AL122" s="740">
        <f t="shared" si="128"/>
        <v>0</v>
      </c>
      <c r="AM122" s="740">
        <f t="shared" si="129"/>
        <v>0</v>
      </c>
      <c r="AN122" s="1108">
        <f t="shared" si="130"/>
        <v>0</v>
      </c>
      <c r="AO122" s="740">
        <f t="shared" si="131"/>
        <v>0</v>
      </c>
      <c r="AP122" s="740">
        <f t="shared" si="132"/>
        <v>0</v>
      </c>
      <c r="AQ122" s="740">
        <f t="shared" si="133"/>
        <v>0</v>
      </c>
      <c r="AR122" s="740">
        <f t="shared" si="134"/>
        <v>0</v>
      </c>
    </row>
    <row r="123" spans="1:50">
      <c r="A123" s="1190"/>
      <c r="B123" s="1191"/>
      <c r="C123" s="1200"/>
      <c r="D123" s="727"/>
      <c r="E123" s="1203"/>
      <c r="F123" s="725">
        <f t="shared" si="135"/>
        <v>0</v>
      </c>
      <c r="G123" s="877"/>
      <c r="H123" s="998"/>
      <c r="I123" s="870"/>
      <c r="J123" s="727"/>
      <c r="K123" s="727"/>
      <c r="L123" s="739"/>
      <c r="M123" s="933">
        <f t="shared" si="136"/>
        <v>0</v>
      </c>
      <c r="N123" s="727"/>
      <c r="O123" s="727"/>
      <c r="P123" s="727"/>
      <c r="Q123" s="727"/>
      <c r="R123" s="727"/>
      <c r="S123" s="727"/>
      <c r="T123" s="727"/>
      <c r="U123" s="727"/>
      <c r="V123" s="727"/>
      <c r="W123" s="727"/>
      <c r="X123" s="740">
        <f t="shared" si="115"/>
        <v>0</v>
      </c>
      <c r="Y123" s="725">
        <f t="shared" si="116"/>
        <v>0</v>
      </c>
      <c r="Z123" s="1096"/>
      <c r="AA123" s="1108">
        <f t="shared" si="117"/>
        <v>0</v>
      </c>
      <c r="AB123" s="740">
        <f t="shared" si="118"/>
        <v>0</v>
      </c>
      <c r="AC123" s="740">
        <f t="shared" si="119"/>
        <v>0</v>
      </c>
      <c r="AD123" s="740">
        <f t="shared" si="120"/>
        <v>0</v>
      </c>
      <c r="AE123" s="1108">
        <f t="shared" si="121"/>
        <v>0</v>
      </c>
      <c r="AF123" s="740">
        <f t="shared" si="122"/>
        <v>0</v>
      </c>
      <c r="AG123" s="740">
        <f t="shared" si="123"/>
        <v>0</v>
      </c>
      <c r="AH123" s="740">
        <f t="shared" si="124"/>
        <v>0</v>
      </c>
      <c r="AI123" s="1108">
        <f t="shared" si="125"/>
        <v>0</v>
      </c>
      <c r="AJ123" s="740">
        <f t="shared" si="126"/>
        <v>0</v>
      </c>
      <c r="AK123" s="740">
        <f t="shared" si="127"/>
        <v>0</v>
      </c>
      <c r="AL123" s="740">
        <f t="shared" si="128"/>
        <v>0</v>
      </c>
      <c r="AM123" s="740">
        <f t="shared" si="129"/>
        <v>0</v>
      </c>
      <c r="AN123" s="1108">
        <f t="shared" si="130"/>
        <v>0</v>
      </c>
      <c r="AO123" s="740">
        <f t="shared" si="131"/>
        <v>0</v>
      </c>
      <c r="AP123" s="740">
        <f t="shared" si="132"/>
        <v>0</v>
      </c>
      <c r="AQ123" s="740">
        <f t="shared" si="133"/>
        <v>0</v>
      </c>
      <c r="AR123" s="740">
        <f t="shared" si="134"/>
        <v>0</v>
      </c>
    </row>
    <row r="124" spans="1:50" ht="13.5" thickBot="1">
      <c r="A124" s="1196"/>
      <c r="B124" s="1197"/>
      <c r="C124" s="1206"/>
      <c r="D124" s="729"/>
      <c r="E124" s="1205"/>
      <c r="F124" s="730">
        <f t="shared" si="135"/>
        <v>0</v>
      </c>
      <c r="G124" s="1048"/>
      <c r="H124" s="1049"/>
      <c r="I124" s="1063"/>
      <c r="J124" s="1053"/>
      <c r="K124" s="1053"/>
      <c r="L124" s="1051"/>
      <c r="M124" s="1052">
        <f t="shared" si="136"/>
        <v>0</v>
      </c>
      <c r="N124" s="1053"/>
      <c r="O124" s="1053"/>
      <c r="P124" s="1053"/>
      <c r="Q124" s="1053"/>
      <c r="R124" s="1053"/>
      <c r="S124" s="1053"/>
      <c r="T124" s="1053"/>
      <c r="U124" s="1053"/>
      <c r="V124" s="1053"/>
      <c r="W124" s="1053"/>
      <c r="X124" s="1054">
        <f t="shared" si="115"/>
        <v>0</v>
      </c>
      <c r="Y124" s="1055">
        <f t="shared" si="116"/>
        <v>0</v>
      </c>
      <c r="Z124" s="1096"/>
      <c r="AA124" s="1108">
        <f t="shared" si="117"/>
        <v>0</v>
      </c>
      <c r="AB124" s="740">
        <f t="shared" si="118"/>
        <v>0</v>
      </c>
      <c r="AC124" s="740">
        <f t="shared" si="119"/>
        <v>0</v>
      </c>
      <c r="AD124" s="740">
        <f t="shared" si="120"/>
        <v>0</v>
      </c>
      <c r="AE124" s="1108">
        <f t="shared" si="121"/>
        <v>0</v>
      </c>
      <c r="AF124" s="740">
        <f t="shared" si="122"/>
        <v>0</v>
      </c>
      <c r="AG124" s="740">
        <f t="shared" si="123"/>
        <v>0</v>
      </c>
      <c r="AH124" s="740">
        <f t="shared" si="124"/>
        <v>0</v>
      </c>
      <c r="AI124" s="1108">
        <f t="shared" si="125"/>
        <v>0</v>
      </c>
      <c r="AJ124" s="740">
        <f t="shared" si="126"/>
        <v>0</v>
      </c>
      <c r="AK124" s="740">
        <f t="shared" si="127"/>
        <v>0</v>
      </c>
      <c r="AL124" s="740">
        <f t="shared" si="128"/>
        <v>0</v>
      </c>
      <c r="AM124" s="740">
        <f t="shared" si="129"/>
        <v>0</v>
      </c>
      <c r="AN124" s="1108">
        <f t="shared" si="130"/>
        <v>0</v>
      </c>
      <c r="AO124" s="740">
        <f t="shared" si="131"/>
        <v>0</v>
      </c>
      <c r="AP124" s="740">
        <f t="shared" si="132"/>
        <v>0</v>
      </c>
      <c r="AQ124" s="740">
        <f t="shared" si="133"/>
        <v>0</v>
      </c>
      <c r="AR124" s="740">
        <f t="shared" si="134"/>
        <v>0</v>
      </c>
    </row>
    <row r="125" spans="1:50" ht="15" customHeight="1" thickBot="1">
      <c r="A125" s="762" t="s">
        <v>481</v>
      </c>
      <c r="B125" s="762"/>
      <c r="C125" s="869">
        <f>SUM(C116:C124)</f>
        <v>0</v>
      </c>
      <c r="D125" s="1171">
        <f>IF(ISERROR(SUM(D116:D124)/C125),0,((SUM(D116:D124)/C125)))</f>
        <v>0</v>
      </c>
      <c r="E125" s="944">
        <f>SUM(E116:E124)</f>
        <v>0</v>
      </c>
      <c r="F125" s="736">
        <f>IFERROR(E125/C125,0)</f>
        <v>0</v>
      </c>
      <c r="G125" s="801"/>
      <c r="H125" s="801"/>
      <c r="I125" s="871">
        <f>SUM(I116:I124)</f>
        <v>0</v>
      </c>
      <c r="J125" s="1430"/>
      <c r="K125" s="1431"/>
      <c r="L125" s="1432"/>
      <c r="M125" s="754">
        <f>IF(ISERROR(SUM(M116:M124)/I125),0,(SUM(M116:M124)/I125))</f>
        <v>0</v>
      </c>
      <c r="N125" s="754">
        <f>IF(ISERROR(SUM(N116:N124)/I125),0,(SUM(N116:N124)/I125))</f>
        <v>0</v>
      </c>
      <c r="O125" s="754">
        <f>IF(ISERROR(SUM(O116:O124)/I125),0,(SUM(O116:O124)/I125))</f>
        <v>0</v>
      </c>
      <c r="P125" s="754">
        <f>IF(ISERROR(SUM(P116:P124)/I125),0,(SUM(P116:P124)/I125))</f>
        <v>0</v>
      </c>
      <c r="Q125" s="754">
        <f>IF(ISERROR(SUM(Q116:Q124)/I125),0,(SUM(Q116:Q124)/I125))</f>
        <v>0</v>
      </c>
      <c r="R125" s="754">
        <f>IF(ISERROR(SUM(R116:R124)/I125),0,(SUM(R116:R124)/I125))</f>
        <v>0</v>
      </c>
      <c r="S125" s="754">
        <f>IF(ISERROR(SUM(S116:S124)/I125),0,(SUM(S116:S124)/I125))</f>
        <v>0</v>
      </c>
      <c r="T125" s="754">
        <f>IF(ISERROR(SUM(T116:T124)/I125),0,(SUM(T116:T124)/I125))</f>
        <v>0</v>
      </c>
      <c r="U125" s="754">
        <f>IF(ISERROR(SUM(U116:U124)/I125),0,(SUM(U116:U124)/I125))</f>
        <v>0</v>
      </c>
      <c r="V125" s="754">
        <f>IF(ISERROR(SUM(V116:V124)/I125),0,(SUM(V116:V124)/I125))</f>
        <v>0</v>
      </c>
      <c r="W125" s="754">
        <f>IF(ISERROR(SUM(W116:W124)/I125),0,(SUM(W116:W124)/I125))</f>
        <v>0</v>
      </c>
      <c r="X125" s="754">
        <f>SUM(X116:X124)</f>
        <v>0</v>
      </c>
      <c r="Y125" s="736">
        <f>IFERROR(SUM(X125/I125),0)</f>
        <v>0</v>
      </c>
      <c r="Z125" s="1097"/>
      <c r="AA125" s="1011"/>
      <c r="AB125" s="1011"/>
      <c r="AC125" s="1011"/>
      <c r="AD125" s="1011"/>
      <c r="AE125" s="1011"/>
      <c r="AF125" s="1011"/>
      <c r="AG125" s="1011"/>
      <c r="AH125" s="1011"/>
      <c r="AI125" s="1011"/>
      <c r="AJ125" s="1011"/>
      <c r="AK125" s="1011"/>
      <c r="AL125" s="1011"/>
      <c r="AM125" s="1011"/>
      <c r="AN125" s="1011"/>
      <c r="AO125" s="1011"/>
      <c r="AP125" s="1011"/>
      <c r="AQ125" s="1011"/>
      <c r="AR125" s="1011"/>
      <c r="AX125" s="806"/>
    </row>
    <row r="126" spans="1:50" ht="13.5" thickBot="1">
      <c r="D126" s="1175"/>
      <c r="E126" s="758"/>
      <c r="F126" s="759"/>
      <c r="G126" s="745"/>
      <c r="H126" s="745"/>
      <c r="X126" s="756" t="s">
        <v>506</v>
      </c>
      <c r="Y126" s="757" t="str">
        <f>IFERROR(Y125*100/F125-100,"")</f>
        <v/>
      </c>
      <c r="Z126" s="1098"/>
      <c r="AA126" s="737"/>
      <c r="AB126" s="737"/>
      <c r="AC126" s="737"/>
      <c r="AD126" s="737"/>
      <c r="AE126" s="737"/>
      <c r="AF126" s="737"/>
      <c r="AG126" s="737"/>
      <c r="AH126" s="737"/>
      <c r="AI126" s="737"/>
      <c r="AJ126" s="737"/>
      <c r="AK126" s="737"/>
      <c r="AL126" s="737"/>
      <c r="AM126" s="737"/>
      <c r="AN126" s="737"/>
      <c r="AO126" s="737"/>
      <c r="AP126" s="737"/>
      <c r="AQ126" s="737"/>
      <c r="AR126" s="737"/>
    </row>
    <row r="127" spans="1:50" ht="13.5" thickBot="1">
      <c r="A127" s="315" t="s">
        <v>482</v>
      </c>
      <c r="B127" s="315"/>
      <c r="D127" s="934"/>
      <c r="E127" s="934"/>
      <c r="G127" s="315" t="s">
        <v>482</v>
      </c>
      <c r="Z127" s="1092"/>
    </row>
    <row r="128" spans="1:50">
      <c r="A128" s="1187"/>
      <c r="B128" s="1188"/>
      <c r="C128" s="1199"/>
      <c r="D128" s="1039"/>
      <c r="E128" s="1202"/>
      <c r="F128" s="722">
        <f>IF(ISERROR(E128/C128),0,(E128/C128))</f>
        <v>0</v>
      </c>
      <c r="G128" s="1043"/>
      <c r="H128" s="1044"/>
      <c r="I128" s="1062"/>
      <c r="J128" s="1039"/>
      <c r="K128" s="1039"/>
      <c r="L128" s="1046"/>
      <c r="M128" s="1038">
        <f t="shared" ref="M128" si="137">IFERROR(L128*I128,"")</f>
        <v>0</v>
      </c>
      <c r="N128" s="1039"/>
      <c r="O128" s="1039"/>
      <c r="P128" s="1039"/>
      <c r="Q128" s="1039"/>
      <c r="R128" s="1039"/>
      <c r="S128" s="1047"/>
      <c r="T128" s="1047"/>
      <c r="U128" s="1039"/>
      <c r="V128" s="1039"/>
      <c r="W128" s="1039"/>
      <c r="X128" s="1040">
        <f t="shared" ref="X128:X136" si="138">IFERROR(IF(G128&lt;&gt;"GfB",(SUM(M128:P128,R128,V128)*12+(T128+U128))*(100+$P$12+$P$13)%+((Q128+S128+W128)*12),(SUM(M128:P128,R128,V128)*12+(T128+U128))*(100+$P$15+$P$13)%+((Q128+S128+W128)*12)),0)</f>
        <v>0</v>
      </c>
      <c r="Y128" s="722">
        <f t="shared" ref="Y128:Y136" si="139">IF(ISERROR(X128/I128),0,(X128/I128))</f>
        <v>0</v>
      </c>
      <c r="Z128" s="1096"/>
      <c r="AA128" s="1108">
        <f t="shared" ref="AA128:AA136" si="140">IF(AND($H128="PFK/BFK",$I128&gt;0,$L128&gt;0),($M128+$N128),0)</f>
        <v>0</v>
      </c>
      <c r="AB128" s="740">
        <f t="shared" ref="AB128:AB136" si="141">IF(AND($H128="PFK/BFK",$I128&gt;0,$L128&gt;0),$O128,0)</f>
        <v>0</v>
      </c>
      <c r="AC128" s="740">
        <f t="shared" ref="AC128:AC136" si="142">IF(AND($H128="PFK/BFK",$I128&gt;0,$L128&gt;0),($P128+$Q128),0)</f>
        <v>0</v>
      </c>
      <c r="AD128" s="740">
        <f t="shared" ref="AD128:AD136" si="143">IF(AND($H128="PFK/BFK",$I128&gt;0,$L128&gt;0),(($T128+$U128)/12),0)</f>
        <v>0</v>
      </c>
      <c r="AE128" s="1108">
        <f t="shared" ref="AE128:AE136" si="144">IF(AND($H128="PK/BK",$I128&gt;0,$L128&gt;0),($M128+$N128),0)</f>
        <v>0</v>
      </c>
      <c r="AF128" s="740">
        <f t="shared" ref="AF128:AF136" si="145">IF(AND($H128="PK/BK",$I128&gt;0,$L128&gt;0),$O128,0)</f>
        <v>0</v>
      </c>
      <c r="AG128" s="740">
        <f t="shared" ref="AG128:AG136" si="146">IF(AND($H128="PK/BK",$I128&gt;0,$L128&gt;0),($P128+$Q128),0)</f>
        <v>0</v>
      </c>
      <c r="AH128" s="740">
        <f t="shared" ref="AH128:AH136" si="147">IF(AND($H128="PK/BK",$I128&gt;0,$L128&gt;0),(($T128+$U128)/12),0)</f>
        <v>0</v>
      </c>
      <c r="AI128" s="1108">
        <f t="shared" ref="AI128:AI136" si="148">IF(AND($H128="PK/BK o.",$I128&gt;0,$L128&gt;0),($M128+$N128),0)</f>
        <v>0</v>
      </c>
      <c r="AJ128" s="740">
        <f t="shared" ref="AJ128:AJ136" si="149">IF(AND($H128="PK/BK o.",$I128&gt;0,$L128&gt;0),$O128,0)</f>
        <v>0</v>
      </c>
      <c r="AK128" s="740">
        <f t="shared" ref="AK128:AK136" si="150">IF(AND($H128="PK/BK o.",$I128&gt;0,$L128&gt;0),($P128+$Q128),0)</f>
        <v>0</v>
      </c>
      <c r="AL128" s="740">
        <f t="shared" ref="AL128:AL136" si="151">IF(AND($H128="PK/BK o.",$I128&gt;0,$L128&gt;0),(($T128+$U128)/12),0)</f>
        <v>0</v>
      </c>
      <c r="AM128" s="740">
        <f t="shared" ref="AM128:AM136" si="152">IF(AND($H128="PFK/BFK",$I128&gt;0,$L128&gt;0),$I128,0)</f>
        <v>0</v>
      </c>
      <c r="AN128" s="1108">
        <f t="shared" ref="AN128:AN136" si="153">IF(AND($H128="PK/BK",$I128&gt;0,$L128&gt;0),$I128,0)</f>
        <v>0</v>
      </c>
      <c r="AO128" s="740">
        <f t="shared" ref="AO128:AO136" si="154">IF(AND($H128="PK/BK o.",$I128&gt;0,$L128&gt;0),$I128,0)</f>
        <v>0</v>
      </c>
      <c r="AP128" s="740">
        <f t="shared" ref="AP128:AP135" si="155">IF(AND($H128="PFK/BFK",$I128&gt;0,$L128&gt;0),$X128,0)</f>
        <v>0</v>
      </c>
      <c r="AQ128" s="740">
        <f t="shared" ref="AQ128:AQ136" si="156">IF(AND($H128="PK/BK",$I128&gt;0,$L128&gt;0),$X128,0)</f>
        <v>0</v>
      </c>
      <c r="AR128" s="740">
        <f t="shared" ref="AR128:AR136" si="157">IF(AND($H128="PK/BK o.",$I128&gt;0,$L128&gt;0),$X128,0)</f>
        <v>0</v>
      </c>
    </row>
    <row r="129" spans="1:49">
      <c r="A129" s="1190"/>
      <c r="B129" s="1191"/>
      <c r="C129" s="1200"/>
      <c r="D129" s="727"/>
      <c r="E129" s="1203"/>
      <c r="F129" s="725">
        <f t="shared" ref="F129:F136" si="158">IF(ISERROR(E129/C129),0,(E129/C129))</f>
        <v>0</v>
      </c>
      <c r="G129" s="877"/>
      <c r="H129" s="998"/>
      <c r="I129" s="870"/>
      <c r="J129" s="727"/>
      <c r="K129" s="727"/>
      <c r="L129" s="739"/>
      <c r="M129" s="937">
        <f t="shared" ref="M129:M136" si="159">IFERROR(L129*I129,"")</f>
        <v>0</v>
      </c>
      <c r="N129" s="727"/>
      <c r="O129" s="727"/>
      <c r="P129" s="727"/>
      <c r="Q129" s="727"/>
      <c r="R129" s="727"/>
      <c r="S129" s="727"/>
      <c r="T129" s="727"/>
      <c r="U129" s="727"/>
      <c r="V129" s="727"/>
      <c r="W129" s="727"/>
      <c r="X129" s="740">
        <f t="shared" si="138"/>
        <v>0</v>
      </c>
      <c r="Y129" s="725">
        <f t="shared" si="139"/>
        <v>0</v>
      </c>
      <c r="Z129" s="1096"/>
      <c r="AA129" s="1108">
        <f t="shared" si="140"/>
        <v>0</v>
      </c>
      <c r="AB129" s="740">
        <f t="shared" si="141"/>
        <v>0</v>
      </c>
      <c r="AC129" s="740">
        <f t="shared" si="142"/>
        <v>0</v>
      </c>
      <c r="AD129" s="740">
        <f t="shared" si="143"/>
        <v>0</v>
      </c>
      <c r="AE129" s="1108">
        <f t="shared" si="144"/>
        <v>0</v>
      </c>
      <c r="AF129" s="740">
        <f t="shared" si="145"/>
        <v>0</v>
      </c>
      <c r="AG129" s="740">
        <f t="shared" si="146"/>
        <v>0</v>
      </c>
      <c r="AH129" s="740">
        <f t="shared" si="147"/>
        <v>0</v>
      </c>
      <c r="AI129" s="1108">
        <f t="shared" si="148"/>
        <v>0</v>
      </c>
      <c r="AJ129" s="740">
        <f t="shared" si="149"/>
        <v>0</v>
      </c>
      <c r="AK129" s="740">
        <f t="shared" si="150"/>
        <v>0</v>
      </c>
      <c r="AL129" s="740">
        <f t="shared" si="151"/>
        <v>0</v>
      </c>
      <c r="AM129" s="740">
        <f t="shared" si="152"/>
        <v>0</v>
      </c>
      <c r="AN129" s="1108">
        <f t="shared" si="153"/>
        <v>0</v>
      </c>
      <c r="AO129" s="740">
        <f t="shared" si="154"/>
        <v>0</v>
      </c>
      <c r="AP129" s="740">
        <f t="shared" si="155"/>
        <v>0</v>
      </c>
      <c r="AQ129" s="740">
        <f t="shared" si="156"/>
        <v>0</v>
      </c>
      <c r="AR129" s="740">
        <f t="shared" si="157"/>
        <v>0</v>
      </c>
    </row>
    <row r="130" spans="1:49">
      <c r="A130" s="1190"/>
      <c r="B130" s="1191"/>
      <c r="C130" s="1200"/>
      <c r="D130" s="727"/>
      <c r="E130" s="1203"/>
      <c r="F130" s="725">
        <f t="shared" si="158"/>
        <v>0</v>
      </c>
      <c r="G130" s="877"/>
      <c r="H130" s="998"/>
      <c r="I130" s="870"/>
      <c r="J130" s="727"/>
      <c r="K130" s="727"/>
      <c r="L130" s="739"/>
      <c r="M130" s="937">
        <f t="shared" si="159"/>
        <v>0</v>
      </c>
      <c r="N130" s="727"/>
      <c r="O130" s="727"/>
      <c r="P130" s="727"/>
      <c r="Q130" s="727"/>
      <c r="R130" s="727"/>
      <c r="S130" s="727"/>
      <c r="T130" s="727"/>
      <c r="U130" s="727"/>
      <c r="V130" s="727"/>
      <c r="W130" s="727"/>
      <c r="X130" s="740">
        <f t="shared" si="138"/>
        <v>0</v>
      </c>
      <c r="Y130" s="725">
        <f t="shared" si="139"/>
        <v>0</v>
      </c>
      <c r="Z130" s="1096"/>
      <c r="AA130" s="1108">
        <f t="shared" si="140"/>
        <v>0</v>
      </c>
      <c r="AB130" s="740">
        <f t="shared" si="141"/>
        <v>0</v>
      </c>
      <c r="AC130" s="740">
        <f t="shared" si="142"/>
        <v>0</v>
      </c>
      <c r="AD130" s="740">
        <f t="shared" si="143"/>
        <v>0</v>
      </c>
      <c r="AE130" s="1108">
        <f t="shared" si="144"/>
        <v>0</v>
      </c>
      <c r="AF130" s="740">
        <f t="shared" si="145"/>
        <v>0</v>
      </c>
      <c r="AG130" s="740">
        <f t="shared" si="146"/>
        <v>0</v>
      </c>
      <c r="AH130" s="740">
        <f t="shared" si="147"/>
        <v>0</v>
      </c>
      <c r="AI130" s="1108">
        <f t="shared" si="148"/>
        <v>0</v>
      </c>
      <c r="AJ130" s="740">
        <f t="shared" si="149"/>
        <v>0</v>
      </c>
      <c r="AK130" s="740">
        <f t="shared" si="150"/>
        <v>0</v>
      </c>
      <c r="AL130" s="740">
        <f t="shared" si="151"/>
        <v>0</v>
      </c>
      <c r="AM130" s="740">
        <f t="shared" si="152"/>
        <v>0</v>
      </c>
      <c r="AN130" s="1108">
        <f t="shared" si="153"/>
        <v>0</v>
      </c>
      <c r="AO130" s="740">
        <f t="shared" si="154"/>
        <v>0</v>
      </c>
      <c r="AP130" s="740">
        <f t="shared" si="155"/>
        <v>0</v>
      </c>
      <c r="AQ130" s="740">
        <f t="shared" si="156"/>
        <v>0</v>
      </c>
      <c r="AR130" s="740">
        <f t="shared" si="157"/>
        <v>0</v>
      </c>
    </row>
    <row r="131" spans="1:49">
      <c r="A131" s="1190"/>
      <c r="B131" s="1191"/>
      <c r="C131" s="1200"/>
      <c r="D131" s="727"/>
      <c r="E131" s="1203"/>
      <c r="F131" s="725">
        <f t="shared" si="158"/>
        <v>0</v>
      </c>
      <c r="G131" s="877"/>
      <c r="H131" s="998"/>
      <c r="I131" s="870"/>
      <c r="J131" s="727"/>
      <c r="K131" s="727"/>
      <c r="L131" s="739"/>
      <c r="M131" s="937">
        <f t="shared" si="159"/>
        <v>0</v>
      </c>
      <c r="N131" s="727"/>
      <c r="O131" s="727"/>
      <c r="P131" s="727"/>
      <c r="Q131" s="727"/>
      <c r="R131" s="727"/>
      <c r="S131" s="727"/>
      <c r="T131" s="727"/>
      <c r="U131" s="727"/>
      <c r="V131" s="727"/>
      <c r="W131" s="727"/>
      <c r="X131" s="740">
        <f t="shared" si="138"/>
        <v>0</v>
      </c>
      <c r="Y131" s="725">
        <f t="shared" si="139"/>
        <v>0</v>
      </c>
      <c r="Z131" s="1096"/>
      <c r="AA131" s="1108">
        <f t="shared" si="140"/>
        <v>0</v>
      </c>
      <c r="AB131" s="740">
        <f t="shared" si="141"/>
        <v>0</v>
      </c>
      <c r="AC131" s="740">
        <f t="shared" si="142"/>
        <v>0</v>
      </c>
      <c r="AD131" s="740">
        <f t="shared" si="143"/>
        <v>0</v>
      </c>
      <c r="AE131" s="1108">
        <f t="shared" si="144"/>
        <v>0</v>
      </c>
      <c r="AF131" s="740">
        <f t="shared" si="145"/>
        <v>0</v>
      </c>
      <c r="AG131" s="740">
        <f t="shared" si="146"/>
        <v>0</v>
      </c>
      <c r="AH131" s="740">
        <f t="shared" si="147"/>
        <v>0</v>
      </c>
      <c r="AI131" s="1108">
        <f t="shared" si="148"/>
        <v>0</v>
      </c>
      <c r="AJ131" s="740">
        <f t="shared" si="149"/>
        <v>0</v>
      </c>
      <c r="AK131" s="740">
        <f t="shared" si="150"/>
        <v>0</v>
      </c>
      <c r="AL131" s="740">
        <f t="shared" si="151"/>
        <v>0</v>
      </c>
      <c r="AM131" s="740">
        <f t="shared" si="152"/>
        <v>0</v>
      </c>
      <c r="AN131" s="1108">
        <f t="shared" si="153"/>
        <v>0</v>
      </c>
      <c r="AO131" s="740">
        <f t="shared" si="154"/>
        <v>0</v>
      </c>
      <c r="AP131" s="740">
        <f t="shared" si="155"/>
        <v>0</v>
      </c>
      <c r="AQ131" s="740">
        <f t="shared" si="156"/>
        <v>0</v>
      </c>
      <c r="AR131" s="740">
        <f t="shared" si="157"/>
        <v>0</v>
      </c>
    </row>
    <row r="132" spans="1:49">
      <c r="A132" s="1190"/>
      <c r="B132" s="1191"/>
      <c r="C132" s="1200"/>
      <c r="D132" s="727"/>
      <c r="E132" s="1203"/>
      <c r="F132" s="725">
        <f t="shared" si="158"/>
        <v>0</v>
      </c>
      <c r="G132" s="877"/>
      <c r="H132" s="998"/>
      <c r="I132" s="870"/>
      <c r="J132" s="727"/>
      <c r="K132" s="727"/>
      <c r="L132" s="739"/>
      <c r="M132" s="937">
        <f t="shared" si="159"/>
        <v>0</v>
      </c>
      <c r="N132" s="727"/>
      <c r="O132" s="727"/>
      <c r="P132" s="727"/>
      <c r="Q132" s="727"/>
      <c r="R132" s="727"/>
      <c r="S132" s="727"/>
      <c r="T132" s="727"/>
      <c r="U132" s="727"/>
      <c r="V132" s="727"/>
      <c r="W132" s="727"/>
      <c r="X132" s="740">
        <f t="shared" si="138"/>
        <v>0</v>
      </c>
      <c r="Y132" s="725">
        <f t="shared" si="139"/>
        <v>0</v>
      </c>
      <c r="Z132" s="1096"/>
      <c r="AA132" s="1108">
        <f t="shared" si="140"/>
        <v>0</v>
      </c>
      <c r="AB132" s="740">
        <f t="shared" si="141"/>
        <v>0</v>
      </c>
      <c r="AC132" s="740">
        <f t="shared" si="142"/>
        <v>0</v>
      </c>
      <c r="AD132" s="740">
        <f t="shared" si="143"/>
        <v>0</v>
      </c>
      <c r="AE132" s="1108">
        <f t="shared" si="144"/>
        <v>0</v>
      </c>
      <c r="AF132" s="740">
        <f t="shared" si="145"/>
        <v>0</v>
      </c>
      <c r="AG132" s="740">
        <f t="shared" si="146"/>
        <v>0</v>
      </c>
      <c r="AH132" s="740">
        <f t="shared" si="147"/>
        <v>0</v>
      </c>
      <c r="AI132" s="1108">
        <f t="shared" si="148"/>
        <v>0</v>
      </c>
      <c r="AJ132" s="740">
        <f t="shared" si="149"/>
        <v>0</v>
      </c>
      <c r="AK132" s="740">
        <f t="shared" si="150"/>
        <v>0</v>
      </c>
      <c r="AL132" s="740">
        <f t="shared" si="151"/>
        <v>0</v>
      </c>
      <c r="AM132" s="740">
        <f t="shared" si="152"/>
        <v>0</v>
      </c>
      <c r="AN132" s="1108">
        <f t="shared" si="153"/>
        <v>0</v>
      </c>
      <c r="AO132" s="740">
        <f t="shared" si="154"/>
        <v>0</v>
      </c>
      <c r="AP132" s="740">
        <f t="shared" si="155"/>
        <v>0</v>
      </c>
      <c r="AQ132" s="740">
        <f t="shared" si="156"/>
        <v>0</v>
      </c>
      <c r="AR132" s="740">
        <f t="shared" si="157"/>
        <v>0</v>
      </c>
    </row>
    <row r="133" spans="1:49">
      <c r="A133" s="1190"/>
      <c r="B133" s="1191"/>
      <c r="C133" s="1200"/>
      <c r="D133" s="727"/>
      <c r="E133" s="1203"/>
      <c r="F133" s="725">
        <f t="shared" si="158"/>
        <v>0</v>
      </c>
      <c r="G133" s="877"/>
      <c r="H133" s="998"/>
      <c r="I133" s="870"/>
      <c r="J133" s="727"/>
      <c r="K133" s="727"/>
      <c r="L133" s="739"/>
      <c r="M133" s="937">
        <f t="shared" si="159"/>
        <v>0</v>
      </c>
      <c r="N133" s="727"/>
      <c r="O133" s="727"/>
      <c r="P133" s="727"/>
      <c r="Q133" s="727"/>
      <c r="R133" s="727"/>
      <c r="S133" s="727"/>
      <c r="T133" s="727"/>
      <c r="U133" s="727"/>
      <c r="V133" s="727"/>
      <c r="W133" s="727"/>
      <c r="X133" s="740">
        <f t="shared" si="138"/>
        <v>0</v>
      </c>
      <c r="Y133" s="725">
        <f t="shared" si="139"/>
        <v>0</v>
      </c>
      <c r="Z133" s="1096"/>
      <c r="AA133" s="1108">
        <f t="shared" si="140"/>
        <v>0</v>
      </c>
      <c r="AB133" s="740">
        <f t="shared" si="141"/>
        <v>0</v>
      </c>
      <c r="AC133" s="740">
        <f t="shared" si="142"/>
        <v>0</v>
      </c>
      <c r="AD133" s="740">
        <f t="shared" si="143"/>
        <v>0</v>
      </c>
      <c r="AE133" s="1108">
        <f t="shared" si="144"/>
        <v>0</v>
      </c>
      <c r="AF133" s="740">
        <f t="shared" si="145"/>
        <v>0</v>
      </c>
      <c r="AG133" s="740">
        <f t="shared" si="146"/>
        <v>0</v>
      </c>
      <c r="AH133" s="740">
        <f t="shared" si="147"/>
        <v>0</v>
      </c>
      <c r="AI133" s="1108">
        <f t="shared" si="148"/>
        <v>0</v>
      </c>
      <c r="AJ133" s="740">
        <f t="shared" si="149"/>
        <v>0</v>
      </c>
      <c r="AK133" s="740">
        <f t="shared" si="150"/>
        <v>0</v>
      </c>
      <c r="AL133" s="740">
        <f t="shared" si="151"/>
        <v>0</v>
      </c>
      <c r="AM133" s="740">
        <f t="shared" si="152"/>
        <v>0</v>
      </c>
      <c r="AN133" s="1108">
        <f t="shared" si="153"/>
        <v>0</v>
      </c>
      <c r="AO133" s="740">
        <f t="shared" si="154"/>
        <v>0</v>
      </c>
      <c r="AP133" s="740">
        <f t="shared" si="155"/>
        <v>0</v>
      </c>
      <c r="AQ133" s="740">
        <f t="shared" si="156"/>
        <v>0</v>
      </c>
      <c r="AR133" s="740">
        <f t="shared" si="157"/>
        <v>0</v>
      </c>
    </row>
    <row r="134" spans="1:49">
      <c r="A134" s="1190"/>
      <c r="B134" s="1191"/>
      <c r="C134" s="1200"/>
      <c r="D134" s="727"/>
      <c r="E134" s="1203"/>
      <c r="F134" s="725">
        <f t="shared" si="158"/>
        <v>0</v>
      </c>
      <c r="G134" s="877"/>
      <c r="H134" s="998"/>
      <c r="I134" s="870"/>
      <c r="J134" s="727"/>
      <c r="K134" s="727"/>
      <c r="L134" s="739"/>
      <c r="M134" s="937">
        <f t="shared" si="159"/>
        <v>0</v>
      </c>
      <c r="N134" s="727"/>
      <c r="O134" s="727"/>
      <c r="P134" s="727"/>
      <c r="Q134" s="727"/>
      <c r="R134" s="727"/>
      <c r="S134" s="727"/>
      <c r="T134" s="727"/>
      <c r="U134" s="727"/>
      <c r="V134" s="727"/>
      <c r="W134" s="727"/>
      <c r="X134" s="740">
        <f t="shared" si="138"/>
        <v>0</v>
      </c>
      <c r="Y134" s="725">
        <f t="shared" si="139"/>
        <v>0</v>
      </c>
      <c r="Z134" s="1096"/>
      <c r="AA134" s="1108">
        <f t="shared" si="140"/>
        <v>0</v>
      </c>
      <c r="AB134" s="740">
        <f t="shared" si="141"/>
        <v>0</v>
      </c>
      <c r="AC134" s="740">
        <f t="shared" si="142"/>
        <v>0</v>
      </c>
      <c r="AD134" s="740">
        <f t="shared" si="143"/>
        <v>0</v>
      </c>
      <c r="AE134" s="1108">
        <f t="shared" si="144"/>
        <v>0</v>
      </c>
      <c r="AF134" s="740">
        <f t="shared" si="145"/>
        <v>0</v>
      </c>
      <c r="AG134" s="740">
        <f t="shared" si="146"/>
        <v>0</v>
      </c>
      <c r="AH134" s="740">
        <f t="shared" si="147"/>
        <v>0</v>
      </c>
      <c r="AI134" s="1108">
        <f t="shared" si="148"/>
        <v>0</v>
      </c>
      <c r="AJ134" s="740">
        <f t="shared" si="149"/>
        <v>0</v>
      </c>
      <c r="AK134" s="740">
        <f t="shared" si="150"/>
        <v>0</v>
      </c>
      <c r="AL134" s="740">
        <f t="shared" si="151"/>
        <v>0</v>
      </c>
      <c r="AM134" s="740">
        <f t="shared" si="152"/>
        <v>0</v>
      </c>
      <c r="AN134" s="1108">
        <f t="shared" si="153"/>
        <v>0</v>
      </c>
      <c r="AO134" s="740">
        <f t="shared" si="154"/>
        <v>0</v>
      </c>
      <c r="AP134" s="740">
        <f t="shared" si="155"/>
        <v>0</v>
      </c>
      <c r="AQ134" s="740">
        <f t="shared" si="156"/>
        <v>0</v>
      </c>
      <c r="AR134" s="740">
        <f t="shared" si="157"/>
        <v>0</v>
      </c>
    </row>
    <row r="135" spans="1:49">
      <c r="A135" s="1190"/>
      <c r="B135" s="1191"/>
      <c r="C135" s="1200"/>
      <c r="D135" s="727"/>
      <c r="E135" s="1203"/>
      <c r="F135" s="725">
        <f t="shared" si="158"/>
        <v>0</v>
      </c>
      <c r="G135" s="877"/>
      <c r="H135" s="998"/>
      <c r="I135" s="870"/>
      <c r="J135" s="727"/>
      <c r="K135" s="727"/>
      <c r="L135" s="739"/>
      <c r="M135" s="937">
        <f t="shared" si="159"/>
        <v>0</v>
      </c>
      <c r="N135" s="727"/>
      <c r="O135" s="727"/>
      <c r="P135" s="727"/>
      <c r="Q135" s="727"/>
      <c r="R135" s="727"/>
      <c r="S135" s="727"/>
      <c r="T135" s="727"/>
      <c r="U135" s="727"/>
      <c r="V135" s="727"/>
      <c r="W135" s="727"/>
      <c r="X135" s="740">
        <f t="shared" si="138"/>
        <v>0</v>
      </c>
      <c r="Y135" s="725">
        <f t="shared" si="139"/>
        <v>0</v>
      </c>
      <c r="Z135" s="1096"/>
      <c r="AA135" s="1108">
        <f t="shared" si="140"/>
        <v>0</v>
      </c>
      <c r="AB135" s="740">
        <f t="shared" si="141"/>
        <v>0</v>
      </c>
      <c r="AC135" s="740">
        <f t="shared" si="142"/>
        <v>0</v>
      </c>
      <c r="AD135" s="740">
        <f t="shared" si="143"/>
        <v>0</v>
      </c>
      <c r="AE135" s="1108">
        <f t="shared" si="144"/>
        <v>0</v>
      </c>
      <c r="AF135" s="740">
        <f t="shared" si="145"/>
        <v>0</v>
      </c>
      <c r="AG135" s="740">
        <f t="shared" si="146"/>
        <v>0</v>
      </c>
      <c r="AH135" s="740">
        <f t="shared" si="147"/>
        <v>0</v>
      </c>
      <c r="AI135" s="1108">
        <f t="shared" si="148"/>
        <v>0</v>
      </c>
      <c r="AJ135" s="740">
        <f t="shared" si="149"/>
        <v>0</v>
      </c>
      <c r="AK135" s="740">
        <f t="shared" si="150"/>
        <v>0</v>
      </c>
      <c r="AL135" s="740">
        <f t="shared" si="151"/>
        <v>0</v>
      </c>
      <c r="AM135" s="740">
        <f t="shared" si="152"/>
        <v>0</v>
      </c>
      <c r="AN135" s="1108">
        <f t="shared" si="153"/>
        <v>0</v>
      </c>
      <c r="AO135" s="740">
        <f t="shared" si="154"/>
        <v>0</v>
      </c>
      <c r="AP135" s="740">
        <f t="shared" si="155"/>
        <v>0</v>
      </c>
      <c r="AQ135" s="740">
        <f t="shared" si="156"/>
        <v>0</v>
      </c>
      <c r="AR135" s="740">
        <f t="shared" si="157"/>
        <v>0</v>
      </c>
    </row>
    <row r="136" spans="1:49" ht="13.5" thickBot="1">
      <c r="A136" s="1196"/>
      <c r="B136" s="1197"/>
      <c r="C136" s="1201"/>
      <c r="D136" s="729"/>
      <c r="E136" s="1205"/>
      <c r="F136" s="730">
        <f t="shared" si="158"/>
        <v>0</v>
      </c>
      <c r="G136" s="1048"/>
      <c r="H136" s="1049"/>
      <c r="I136" s="1063"/>
      <c r="J136" s="1053"/>
      <c r="K136" s="1053"/>
      <c r="L136" s="1051"/>
      <c r="M136" s="1064">
        <f t="shared" si="159"/>
        <v>0</v>
      </c>
      <c r="N136" s="1053"/>
      <c r="O136" s="1053"/>
      <c r="P136" s="1053"/>
      <c r="Q136" s="1053"/>
      <c r="R136" s="1053"/>
      <c r="S136" s="1053"/>
      <c r="T136" s="1053"/>
      <c r="U136" s="1053"/>
      <c r="V136" s="1053"/>
      <c r="W136" s="1053"/>
      <c r="X136" s="1054">
        <f t="shared" si="138"/>
        <v>0</v>
      </c>
      <c r="Y136" s="1055">
        <f t="shared" si="139"/>
        <v>0</v>
      </c>
      <c r="Z136" s="1096"/>
      <c r="AA136" s="1108">
        <f t="shared" si="140"/>
        <v>0</v>
      </c>
      <c r="AB136" s="740">
        <f t="shared" si="141"/>
        <v>0</v>
      </c>
      <c r="AC136" s="740">
        <f t="shared" si="142"/>
        <v>0</v>
      </c>
      <c r="AD136" s="740">
        <f t="shared" si="143"/>
        <v>0</v>
      </c>
      <c r="AE136" s="1108">
        <f t="shared" si="144"/>
        <v>0</v>
      </c>
      <c r="AF136" s="740">
        <f t="shared" si="145"/>
        <v>0</v>
      </c>
      <c r="AG136" s="740">
        <f t="shared" si="146"/>
        <v>0</v>
      </c>
      <c r="AH136" s="740">
        <f t="shared" si="147"/>
        <v>0</v>
      </c>
      <c r="AI136" s="1108">
        <f t="shared" si="148"/>
        <v>0</v>
      </c>
      <c r="AJ136" s="740">
        <f t="shared" si="149"/>
        <v>0</v>
      </c>
      <c r="AK136" s="740">
        <f t="shared" si="150"/>
        <v>0</v>
      </c>
      <c r="AL136" s="740">
        <f t="shared" si="151"/>
        <v>0</v>
      </c>
      <c r="AM136" s="740">
        <f t="shared" si="152"/>
        <v>0</v>
      </c>
      <c r="AN136" s="1108">
        <f t="shared" si="153"/>
        <v>0</v>
      </c>
      <c r="AO136" s="740">
        <f t="shared" si="154"/>
        <v>0</v>
      </c>
      <c r="AP136" s="740">
        <f>IF(AND($H136="PFK/BFK",$I136&gt;0,$L136&gt;0),$X136,0)</f>
        <v>0</v>
      </c>
      <c r="AQ136" s="740">
        <f t="shared" si="156"/>
        <v>0</v>
      </c>
      <c r="AR136" s="740">
        <f t="shared" si="157"/>
        <v>0</v>
      </c>
    </row>
    <row r="137" spans="1:49" ht="15" customHeight="1" thickBot="1">
      <c r="A137" s="923" t="s">
        <v>483</v>
      </c>
      <c r="B137" s="923"/>
      <c r="C137" s="869">
        <f>SUM(C128:C136)</f>
        <v>0</v>
      </c>
      <c r="D137" s="1171">
        <f>IF(ISERROR(SUM(D128:D136)/C137),0,((SUM(D128:D136)/C137)))</f>
        <v>0</v>
      </c>
      <c r="E137" s="944">
        <f>SUM(E128:E136)</f>
        <v>0</v>
      </c>
      <c r="F137" s="736">
        <f>IFERROR(E137/C137,0)</f>
        <v>0</v>
      </c>
      <c r="G137" s="801"/>
      <c r="H137" s="801"/>
      <c r="I137" s="871">
        <f>SUM(I128:I136)</f>
        <v>0</v>
      </c>
      <c r="J137" s="1430"/>
      <c r="K137" s="1431"/>
      <c r="L137" s="1432"/>
      <c r="M137" s="754">
        <f>IF(ISERROR(SUM(M128:M136)/I137),0,(SUM(M128:M136)/I137))</f>
        <v>0</v>
      </c>
      <c r="N137" s="754">
        <f>IF(ISERROR(SUM(N128:N136)/I137),0,(SUM(N128:N136)/I137))</f>
        <v>0</v>
      </c>
      <c r="O137" s="754">
        <f>IF(ISERROR(SUM(O128:O136)/I137),0,(SUM(O128:O136)/I137))</f>
        <v>0</v>
      </c>
      <c r="P137" s="754">
        <f>IF(ISERROR(SUM(P128:P136)/I137),0,(SUM(P128:P136)/I137))</f>
        <v>0</v>
      </c>
      <c r="Q137" s="754">
        <f>IF(ISERROR(SUM(Q128:Q136)/I137),0,(SUM(Q128:Q136)/I137))</f>
        <v>0</v>
      </c>
      <c r="R137" s="754">
        <f>IF(ISERROR(SUM(R128:R136)/I137),0,(SUM(R128:R136)/I137))</f>
        <v>0</v>
      </c>
      <c r="S137" s="754">
        <f>IF(ISERROR(SUM(S128:S136)/I137),0,(SUM(S128:S136)/I137))</f>
        <v>0</v>
      </c>
      <c r="T137" s="754">
        <f>IF(ISERROR(SUM(T128:T136)/I137),0,(SUM(T128:T136)/I137))</f>
        <v>0</v>
      </c>
      <c r="U137" s="754">
        <f>IF(ISERROR(SUM(U128:U136)/I137),0,(SUM(U128:U136)/I137))</f>
        <v>0</v>
      </c>
      <c r="V137" s="754">
        <f>IF(ISERROR(SUM(V128:V136)/I137),0,(SUM(V128:V136)/I137))</f>
        <v>0</v>
      </c>
      <c r="W137" s="754">
        <f>IF(ISERROR(SUM(W128:W136)/I137),0,(SUM(W128:W136)/I137))</f>
        <v>0</v>
      </c>
      <c r="X137" s="754">
        <f>SUM(X128:X136)</f>
        <v>0</v>
      </c>
      <c r="Y137" s="736">
        <f>IFERROR(SUM(X137/I137),0)</f>
        <v>0</v>
      </c>
      <c r="Z137" s="1097"/>
      <c r="AA137" s="1011"/>
      <c r="AB137" s="1011"/>
      <c r="AC137" s="1011"/>
      <c r="AD137" s="1011"/>
      <c r="AE137" s="1011"/>
      <c r="AF137" s="1011"/>
      <c r="AG137" s="1011"/>
      <c r="AH137" s="1011"/>
      <c r="AI137" s="1011"/>
      <c r="AJ137" s="1011"/>
      <c r="AK137" s="1011"/>
      <c r="AL137" s="1011"/>
      <c r="AM137" s="1011"/>
      <c r="AN137" s="1011"/>
      <c r="AO137" s="1011"/>
      <c r="AP137" s="1011"/>
      <c r="AQ137" s="1011"/>
      <c r="AR137" s="1011"/>
      <c r="AW137" s="930"/>
    </row>
    <row r="138" spans="1:49" ht="13.5" thickBot="1">
      <c r="D138" s="1175"/>
      <c r="E138" s="758"/>
      <c r="F138" s="759"/>
      <c r="G138" s="745"/>
      <c r="H138" s="745"/>
      <c r="X138" s="756" t="s">
        <v>506</v>
      </c>
      <c r="Y138" s="757" t="str">
        <f>IFERROR(Y137*100/F137-100,"")</f>
        <v/>
      </c>
      <c r="Z138" s="1098"/>
      <c r="AA138" s="737"/>
      <c r="AB138" s="737"/>
      <c r="AC138" s="737"/>
      <c r="AD138" s="737"/>
      <c r="AE138" s="737"/>
      <c r="AF138" s="737"/>
      <c r="AG138" s="737"/>
      <c r="AH138" s="737"/>
      <c r="AI138" s="737"/>
      <c r="AJ138" s="737"/>
      <c r="AK138" s="737"/>
      <c r="AL138" s="737"/>
      <c r="AM138" s="737"/>
      <c r="AN138" s="737"/>
      <c r="AO138" s="737"/>
      <c r="AP138" s="737"/>
      <c r="AQ138" s="737"/>
      <c r="AR138" s="737"/>
    </row>
    <row r="139" spans="1:49" ht="13.5" thickBot="1">
      <c r="A139" s="315" t="s">
        <v>484</v>
      </c>
      <c r="B139" s="315"/>
      <c r="D139" s="934"/>
      <c r="E139" s="934"/>
      <c r="G139" s="315" t="s">
        <v>484</v>
      </c>
      <c r="Z139" s="1092"/>
    </row>
    <row r="140" spans="1:49">
      <c r="A140" s="1187"/>
      <c r="B140" s="1176"/>
      <c r="C140" s="1199"/>
      <c r="D140" s="1039"/>
      <c r="E140" s="1202"/>
      <c r="F140" s="722">
        <f>IF(ISERROR(E140/C140),0,(E140/C140))</f>
        <v>0</v>
      </c>
      <c r="G140" s="1043"/>
      <c r="H140" s="1182"/>
      <c r="I140" s="1062"/>
      <c r="J140" s="1039"/>
      <c r="K140" s="1039"/>
      <c r="L140" s="1046"/>
      <c r="M140" s="1038">
        <f t="shared" ref="M140" si="160">IFERROR(L140*I140,"")</f>
        <v>0</v>
      </c>
      <c r="N140" s="1039"/>
      <c r="O140" s="1039"/>
      <c r="P140" s="1039"/>
      <c r="Q140" s="1039"/>
      <c r="R140" s="1039"/>
      <c r="S140" s="1039"/>
      <c r="T140" s="1039"/>
      <c r="U140" s="1039"/>
      <c r="V140" s="1039"/>
      <c r="W140" s="1039"/>
      <c r="X140" s="1040">
        <f t="shared" ref="X140:X144" si="161">IFERROR(IF(G140&lt;&gt;"GfB",(SUM(M140:P140,R140,V140)*12+(T140+U140))*(100+$P$12+$P$13)%+((Q140+S140+W140)*12),(SUM(M140:P140,R140,V140)*12+(T140+U140))*(100+$P$15+$P$13)%+((Q140+S140+W140)*12)),0)</f>
        <v>0</v>
      </c>
      <c r="Y140" s="722">
        <f t="shared" ref="Y140:Y144" si="162">IF(ISERROR(X140/I140),0,(X140/I140))</f>
        <v>0</v>
      </c>
      <c r="Z140" s="1096"/>
      <c r="AA140" s="1010"/>
      <c r="AB140" s="1010"/>
      <c r="AC140" s="1010"/>
      <c r="AD140" s="1010"/>
      <c r="AE140" s="1010"/>
      <c r="AF140" s="1010"/>
      <c r="AG140" s="1010"/>
      <c r="AH140" s="1010"/>
      <c r="AI140" s="1010"/>
      <c r="AJ140" s="1010"/>
      <c r="AK140" s="1010"/>
      <c r="AL140" s="1010"/>
      <c r="AM140" s="1010"/>
      <c r="AN140" s="1010"/>
      <c r="AO140" s="1010"/>
      <c r="AP140" s="1010"/>
      <c r="AQ140" s="1010"/>
      <c r="AR140" s="1010"/>
    </row>
    <row r="141" spans="1:49">
      <c r="A141" s="1190"/>
      <c r="B141" s="1177"/>
      <c r="C141" s="1200"/>
      <c r="D141" s="727"/>
      <c r="E141" s="1203"/>
      <c r="F141" s="725">
        <f t="shared" ref="F141:F144" si="163">IF(ISERROR(E141/C141),0,(E141/C141))</f>
        <v>0</v>
      </c>
      <c r="G141" s="877"/>
      <c r="H141" s="1183"/>
      <c r="I141" s="870"/>
      <c r="J141" s="727"/>
      <c r="K141" s="727"/>
      <c r="L141" s="739"/>
      <c r="M141" s="937">
        <f t="shared" ref="M141:M144" si="164">IFERROR(L141*I141,"")</f>
        <v>0</v>
      </c>
      <c r="N141" s="727"/>
      <c r="O141" s="727"/>
      <c r="P141" s="727"/>
      <c r="Q141" s="727"/>
      <c r="R141" s="727"/>
      <c r="S141" s="727"/>
      <c r="T141" s="727"/>
      <c r="U141" s="727"/>
      <c r="V141" s="727"/>
      <c r="W141" s="727"/>
      <c r="X141" s="740">
        <f t="shared" si="161"/>
        <v>0</v>
      </c>
      <c r="Y141" s="725">
        <f t="shared" si="162"/>
        <v>0</v>
      </c>
      <c r="Z141" s="1096"/>
      <c r="AA141" s="1010"/>
      <c r="AB141" s="1010"/>
      <c r="AC141" s="1010"/>
      <c r="AD141" s="1010"/>
      <c r="AE141" s="1010"/>
      <c r="AF141" s="1010"/>
      <c r="AG141" s="1010"/>
      <c r="AH141" s="1010"/>
      <c r="AI141" s="1010"/>
      <c r="AJ141" s="1010"/>
      <c r="AK141" s="1010"/>
      <c r="AL141" s="1010"/>
      <c r="AM141" s="1010"/>
      <c r="AN141" s="1010"/>
      <c r="AO141" s="1010"/>
      <c r="AP141" s="1010"/>
      <c r="AQ141" s="1010"/>
      <c r="AR141" s="1010"/>
    </row>
    <row r="142" spans="1:49">
      <c r="A142" s="1190"/>
      <c r="B142" s="1177"/>
      <c r="C142" s="1200"/>
      <c r="D142" s="727"/>
      <c r="E142" s="1203"/>
      <c r="F142" s="725">
        <f t="shared" si="163"/>
        <v>0</v>
      </c>
      <c r="G142" s="877"/>
      <c r="H142" s="1183"/>
      <c r="I142" s="870"/>
      <c r="J142" s="727"/>
      <c r="K142" s="727"/>
      <c r="L142" s="739"/>
      <c r="M142" s="937">
        <f t="shared" si="164"/>
        <v>0</v>
      </c>
      <c r="N142" s="727"/>
      <c r="O142" s="727"/>
      <c r="P142" s="727"/>
      <c r="Q142" s="727"/>
      <c r="R142" s="727"/>
      <c r="S142" s="727"/>
      <c r="T142" s="727"/>
      <c r="U142" s="727"/>
      <c r="V142" s="727"/>
      <c r="W142" s="727"/>
      <c r="X142" s="740">
        <f t="shared" si="161"/>
        <v>0</v>
      </c>
      <c r="Y142" s="725">
        <f t="shared" si="162"/>
        <v>0</v>
      </c>
      <c r="Z142" s="1096"/>
      <c r="AA142" s="1010"/>
      <c r="AB142" s="1010"/>
      <c r="AC142" s="1010"/>
      <c r="AD142" s="1010"/>
      <c r="AE142" s="1010"/>
      <c r="AF142" s="1010"/>
      <c r="AG142" s="1010"/>
      <c r="AH142" s="1010"/>
      <c r="AI142" s="1010"/>
      <c r="AJ142" s="1010"/>
      <c r="AK142" s="1010"/>
      <c r="AL142" s="1010"/>
      <c r="AM142" s="1010"/>
      <c r="AN142" s="1010"/>
      <c r="AO142" s="1010"/>
      <c r="AP142" s="1010"/>
      <c r="AQ142" s="1010"/>
      <c r="AR142" s="1010"/>
    </row>
    <row r="143" spans="1:49">
      <c r="A143" s="1190"/>
      <c r="B143" s="1177"/>
      <c r="C143" s="1200"/>
      <c r="D143" s="727"/>
      <c r="E143" s="1203"/>
      <c r="F143" s="725">
        <f t="shared" si="163"/>
        <v>0</v>
      </c>
      <c r="G143" s="877"/>
      <c r="H143" s="1184"/>
      <c r="I143" s="870"/>
      <c r="J143" s="727"/>
      <c r="K143" s="727"/>
      <c r="L143" s="739"/>
      <c r="M143" s="937">
        <f t="shared" si="164"/>
        <v>0</v>
      </c>
      <c r="N143" s="727"/>
      <c r="O143" s="727"/>
      <c r="P143" s="727"/>
      <c r="Q143" s="727"/>
      <c r="R143" s="727"/>
      <c r="S143" s="727"/>
      <c r="T143" s="727"/>
      <c r="U143" s="727"/>
      <c r="V143" s="727"/>
      <c r="W143" s="727"/>
      <c r="X143" s="740">
        <f t="shared" si="161"/>
        <v>0</v>
      </c>
      <c r="Y143" s="725">
        <f t="shared" si="162"/>
        <v>0</v>
      </c>
      <c r="Z143" s="1096"/>
      <c r="AA143" s="1010"/>
      <c r="AB143" s="1010"/>
      <c r="AC143" s="1010"/>
      <c r="AD143" s="1010"/>
      <c r="AE143" s="1010"/>
      <c r="AF143" s="1010"/>
      <c r="AG143" s="1010"/>
      <c r="AH143" s="1010"/>
      <c r="AI143" s="1010"/>
      <c r="AJ143" s="1010"/>
      <c r="AK143" s="1010"/>
      <c r="AL143" s="1010"/>
      <c r="AM143" s="1010"/>
      <c r="AN143" s="1010"/>
      <c r="AO143" s="1010"/>
      <c r="AP143" s="1010"/>
      <c r="AQ143" s="1010"/>
      <c r="AR143" s="1010"/>
    </row>
    <row r="144" spans="1:49" ht="13.5" thickBot="1">
      <c r="A144" s="1196"/>
      <c r="B144" s="1178"/>
      <c r="C144" s="1201"/>
      <c r="D144" s="729"/>
      <c r="E144" s="1205"/>
      <c r="F144" s="730">
        <f t="shared" si="163"/>
        <v>0</v>
      </c>
      <c r="G144" s="1048"/>
      <c r="H144" s="1185"/>
      <c r="I144" s="1063"/>
      <c r="J144" s="1053"/>
      <c r="K144" s="1053"/>
      <c r="L144" s="1051"/>
      <c r="M144" s="1064">
        <f t="shared" si="164"/>
        <v>0</v>
      </c>
      <c r="N144" s="1053"/>
      <c r="O144" s="1053"/>
      <c r="P144" s="1053"/>
      <c r="Q144" s="1053"/>
      <c r="R144" s="1053"/>
      <c r="S144" s="1053"/>
      <c r="T144" s="1053"/>
      <c r="U144" s="1053"/>
      <c r="V144" s="1053"/>
      <c r="W144" s="1053"/>
      <c r="X144" s="1054">
        <f t="shared" si="161"/>
        <v>0</v>
      </c>
      <c r="Y144" s="1055">
        <f t="shared" si="162"/>
        <v>0</v>
      </c>
      <c r="Z144" s="1096"/>
      <c r="AA144" s="1010"/>
      <c r="AB144" s="1010"/>
      <c r="AC144" s="1010"/>
      <c r="AD144" s="1010"/>
      <c r="AE144" s="1010"/>
      <c r="AF144" s="1010"/>
      <c r="AG144" s="1010"/>
      <c r="AH144" s="1010"/>
      <c r="AI144" s="1010"/>
      <c r="AJ144" s="1010"/>
      <c r="AK144" s="1010"/>
      <c r="AL144" s="1010"/>
      <c r="AM144" s="1010"/>
      <c r="AN144" s="1010"/>
      <c r="AO144" s="1010"/>
      <c r="AP144" s="1010"/>
      <c r="AQ144" s="1010"/>
      <c r="AR144" s="1010"/>
    </row>
    <row r="145" spans="1:44" ht="15" customHeight="1" thickBot="1">
      <c r="A145" s="721" t="s">
        <v>485</v>
      </c>
      <c r="B145" s="945"/>
      <c r="C145" s="872">
        <f>SUM(C140:C144)</f>
        <v>0</v>
      </c>
      <c r="D145" s="1171">
        <f>IF(ISERROR(SUM(D140:D144)/C145),0,((SUM(D140:D144)/C145)))</f>
        <v>0</v>
      </c>
      <c r="E145" s="924">
        <f>SUM(E140:E144)</f>
        <v>0</v>
      </c>
      <c r="F145" s="736">
        <f>IFERROR(E145/C145,0)</f>
        <v>0</v>
      </c>
      <c r="G145" s="855"/>
      <c r="H145" s="855"/>
      <c r="I145" s="873">
        <f>SUM(I140:I144)</f>
        <v>0</v>
      </c>
      <c r="J145" s="1430"/>
      <c r="K145" s="1431"/>
      <c r="L145" s="1432"/>
      <c r="M145" s="754">
        <f>IF(ISERROR(SUM(M140:M144)/I145),0,(SUM(M140:M144)/I145))</f>
        <v>0</v>
      </c>
      <c r="N145" s="754">
        <f>IF(ISERROR(SUM(N140:N144)/I145),0,(SUM(N140:N144)/I145))</f>
        <v>0</v>
      </c>
      <c r="O145" s="754">
        <f>IF(ISERROR(SUM(O140:O144)/I145),0,(SUM(O140:O144)/I145))</f>
        <v>0</v>
      </c>
      <c r="P145" s="754">
        <f>IF(ISERROR(SUM(P140:P144)/I145),0,(SUM(P140:P144)/I145))</f>
        <v>0</v>
      </c>
      <c r="Q145" s="754">
        <f>IF(ISERROR(SUM(Q140:Q144)/I145),0,(SUM(Q140:Q144)/I145))</f>
        <v>0</v>
      </c>
      <c r="R145" s="754">
        <f>IF(ISERROR(SUM(R140:R144)/I145),0,(SUM(R140:R144)/I145))</f>
        <v>0</v>
      </c>
      <c r="S145" s="754">
        <f>IF(ISERROR(SUM(S140:S144)/I145),0,(SUM(S140:S144)/I145))</f>
        <v>0</v>
      </c>
      <c r="T145" s="754">
        <f>IF(ISERROR(SUM(T140:T144)/I145),0,(SUM(T140:T144)/I145))</f>
        <v>0</v>
      </c>
      <c r="U145" s="754">
        <f>IF(ISERROR(SUM(U140:U144)/I145),0,(SUM(U140:U144)/I145))</f>
        <v>0</v>
      </c>
      <c r="V145" s="754">
        <f>IF(ISERROR(SUM(V140:V144)/I145),0,(SUM(V140:V144)/I145))</f>
        <v>0</v>
      </c>
      <c r="W145" s="754">
        <f>IF(ISERROR(SUM(W140:W144)/I145),0,(SUM(W140:W144)/I145))</f>
        <v>0</v>
      </c>
      <c r="X145" s="754">
        <f>SUM(X140:X144)</f>
        <v>0</v>
      </c>
      <c r="Y145" s="736">
        <f>IFERROR(SUM(X145/I145),0)</f>
        <v>0</v>
      </c>
      <c r="Z145" s="1097"/>
      <c r="AA145" s="1011"/>
      <c r="AB145" s="1011"/>
      <c r="AC145" s="1011"/>
      <c r="AD145" s="1011"/>
      <c r="AE145" s="1011"/>
      <c r="AF145" s="1011"/>
      <c r="AG145" s="1011"/>
      <c r="AH145" s="1011"/>
      <c r="AI145" s="1011"/>
      <c r="AJ145" s="1011"/>
      <c r="AK145" s="1011"/>
      <c r="AL145" s="1011"/>
      <c r="AM145" s="1011"/>
      <c r="AN145" s="1011"/>
      <c r="AO145" s="1011"/>
      <c r="AP145" s="1011"/>
      <c r="AQ145" s="1011"/>
      <c r="AR145" s="1011"/>
    </row>
    <row r="146" spans="1:44" ht="13.5" thickBot="1">
      <c r="C146" s="755"/>
      <c r="D146" s="1173"/>
      <c r="E146" s="743"/>
      <c r="F146" s="744"/>
      <c r="G146" s="745"/>
      <c r="H146" s="745"/>
      <c r="X146" s="756" t="s">
        <v>506</v>
      </c>
      <c r="Y146" s="757" t="str">
        <f>IFERROR(Y145*100/F145-100,"")</f>
        <v/>
      </c>
      <c r="Z146" s="1098"/>
      <c r="AA146" s="737"/>
      <c r="AB146" s="737"/>
      <c r="AC146" s="737"/>
      <c r="AD146" s="737"/>
      <c r="AE146" s="737"/>
      <c r="AF146" s="737"/>
      <c r="AG146" s="737"/>
      <c r="AH146" s="737"/>
      <c r="AI146" s="737"/>
      <c r="AJ146" s="737"/>
      <c r="AK146" s="737"/>
      <c r="AL146" s="737"/>
      <c r="AM146" s="737"/>
      <c r="AN146" s="737"/>
      <c r="AO146" s="737"/>
      <c r="AP146" s="737"/>
      <c r="AQ146" s="737"/>
      <c r="AR146" s="737"/>
    </row>
    <row r="147" spans="1:44" ht="13.5" thickBot="1">
      <c r="A147" s="315" t="s">
        <v>486</v>
      </c>
      <c r="B147" s="315"/>
      <c r="C147" s="315"/>
      <c r="D147" s="934"/>
      <c r="E147" s="934"/>
      <c r="G147" s="315" t="s">
        <v>486</v>
      </c>
      <c r="Z147" s="1092"/>
    </row>
    <row r="148" spans="1:44">
      <c r="A148" s="1187"/>
      <c r="B148" s="1176"/>
      <c r="C148" s="1199"/>
      <c r="D148" s="1039"/>
      <c r="E148" s="1202"/>
      <c r="F148" s="722">
        <f>IF(ISERROR(E148/C148),0,(E148/C148))</f>
        <v>0</v>
      </c>
      <c r="G148" s="1043"/>
      <c r="H148" s="1179"/>
      <c r="I148" s="1062"/>
      <c r="J148" s="1039"/>
      <c r="K148" s="1039"/>
      <c r="L148" s="1046"/>
      <c r="M148" s="1038">
        <f t="shared" ref="M148" si="165">IFERROR(L148*I148,"")</f>
        <v>0</v>
      </c>
      <c r="N148" s="1039"/>
      <c r="O148" s="1039"/>
      <c r="P148" s="1039"/>
      <c r="Q148" s="1039"/>
      <c r="R148" s="1039"/>
      <c r="S148" s="1047"/>
      <c r="T148" s="1047"/>
      <c r="U148" s="1039"/>
      <c r="V148" s="1039"/>
      <c r="W148" s="1039"/>
      <c r="X148" s="1040">
        <f t="shared" ref="X148:X152" si="166">IFERROR(IF(G148&lt;&gt;"GfB",(SUM(M148:P148,R148,V148)*12+(T148+U148))*(100+$P$12+$P$13)%+((Q148+S148+W148)*12),(SUM(M148:P148,R148,V148)*12+(T148+U148))*(100+$P$15+$P$13)%+((Q148+S148+W148)*12)),0)</f>
        <v>0</v>
      </c>
      <c r="Y148" s="722">
        <f t="shared" ref="Y148:Y152" si="167">IF(ISERROR(X148/I148),0,(X148/I148))</f>
        <v>0</v>
      </c>
      <c r="Z148" s="1096"/>
      <c r="AA148" s="1010"/>
      <c r="AB148" s="1010"/>
      <c r="AC148" s="1010"/>
      <c r="AD148" s="1010"/>
      <c r="AE148" s="1010"/>
      <c r="AF148" s="1010"/>
      <c r="AG148" s="1010"/>
      <c r="AH148" s="1010"/>
      <c r="AI148" s="1010"/>
      <c r="AJ148" s="1010"/>
      <c r="AK148" s="1010"/>
      <c r="AL148" s="1010"/>
      <c r="AM148" s="1010"/>
      <c r="AN148" s="1010"/>
      <c r="AO148" s="1010"/>
      <c r="AP148" s="1010"/>
      <c r="AQ148" s="1010"/>
      <c r="AR148" s="1010"/>
    </row>
    <row r="149" spans="1:44">
      <c r="A149" s="1190"/>
      <c r="B149" s="1177"/>
      <c r="C149" s="1200"/>
      <c r="D149" s="727"/>
      <c r="E149" s="1203"/>
      <c r="F149" s="725">
        <f t="shared" ref="F149:F152" si="168">IF(ISERROR(E149/C149),0,(E149/C149))</f>
        <v>0</v>
      </c>
      <c r="G149" s="877"/>
      <c r="H149" s="1180"/>
      <c r="I149" s="870"/>
      <c r="J149" s="727"/>
      <c r="K149" s="727"/>
      <c r="L149" s="739"/>
      <c r="M149" s="937">
        <f t="shared" ref="M149:M152" si="169">IFERROR(L149*I149,"")</f>
        <v>0</v>
      </c>
      <c r="N149" s="727"/>
      <c r="O149" s="727"/>
      <c r="P149" s="727"/>
      <c r="Q149" s="727"/>
      <c r="R149" s="727"/>
      <c r="S149" s="906"/>
      <c r="T149" s="906"/>
      <c r="U149" s="727"/>
      <c r="V149" s="727"/>
      <c r="W149" s="727"/>
      <c r="X149" s="740">
        <f t="shared" si="166"/>
        <v>0</v>
      </c>
      <c r="Y149" s="725">
        <f t="shared" si="167"/>
        <v>0</v>
      </c>
      <c r="Z149" s="1096"/>
      <c r="AA149" s="1010"/>
      <c r="AB149" s="1010"/>
      <c r="AC149" s="1010"/>
      <c r="AD149" s="1010"/>
      <c r="AE149" s="1010"/>
      <c r="AF149" s="1010"/>
      <c r="AG149" s="1010"/>
      <c r="AH149" s="1010"/>
      <c r="AI149" s="1010"/>
      <c r="AJ149" s="1010"/>
      <c r="AK149" s="1010"/>
      <c r="AL149" s="1010"/>
      <c r="AM149" s="1010"/>
      <c r="AN149" s="1010"/>
      <c r="AO149" s="1010"/>
      <c r="AP149" s="1010"/>
      <c r="AQ149" s="1010"/>
      <c r="AR149" s="1010"/>
    </row>
    <row r="150" spans="1:44">
      <c r="A150" s="1190"/>
      <c r="B150" s="1177"/>
      <c r="C150" s="1200"/>
      <c r="D150" s="727"/>
      <c r="E150" s="1203"/>
      <c r="F150" s="725">
        <f t="shared" si="168"/>
        <v>0</v>
      </c>
      <c r="G150" s="877"/>
      <c r="H150" s="1180"/>
      <c r="I150" s="870"/>
      <c r="J150" s="727"/>
      <c r="K150" s="727"/>
      <c r="L150" s="739"/>
      <c r="M150" s="937">
        <f t="shared" si="169"/>
        <v>0</v>
      </c>
      <c r="N150" s="727"/>
      <c r="O150" s="727"/>
      <c r="P150" s="727"/>
      <c r="Q150" s="727"/>
      <c r="R150" s="727"/>
      <c r="S150" s="727"/>
      <c r="T150" s="727"/>
      <c r="U150" s="727"/>
      <c r="V150" s="727"/>
      <c r="W150" s="727"/>
      <c r="X150" s="740">
        <f t="shared" si="166"/>
        <v>0</v>
      </c>
      <c r="Y150" s="725">
        <f>IF(ISERROR(X150/I150),0,(X150/I150))</f>
        <v>0</v>
      </c>
      <c r="Z150" s="1096"/>
      <c r="AA150" s="1010"/>
      <c r="AB150" s="1010"/>
      <c r="AC150" s="1010"/>
      <c r="AD150" s="1010"/>
      <c r="AE150" s="1010"/>
      <c r="AF150" s="1010"/>
      <c r="AG150" s="1010"/>
      <c r="AH150" s="1010"/>
      <c r="AI150" s="1010"/>
      <c r="AJ150" s="1010"/>
      <c r="AK150" s="1010"/>
      <c r="AL150" s="1010"/>
      <c r="AM150" s="1010"/>
      <c r="AN150" s="1010"/>
      <c r="AO150" s="1010"/>
      <c r="AP150" s="1010"/>
      <c r="AQ150" s="1010"/>
      <c r="AR150" s="1010"/>
    </row>
    <row r="151" spans="1:44">
      <c r="A151" s="1190"/>
      <c r="B151" s="1177"/>
      <c r="C151" s="1200"/>
      <c r="D151" s="727"/>
      <c r="E151" s="1203"/>
      <c r="F151" s="725">
        <f t="shared" si="168"/>
        <v>0</v>
      </c>
      <c r="G151" s="877"/>
      <c r="H151" s="1180"/>
      <c r="I151" s="870"/>
      <c r="J151" s="727"/>
      <c r="K151" s="727"/>
      <c r="L151" s="739"/>
      <c r="M151" s="937">
        <f t="shared" si="169"/>
        <v>0</v>
      </c>
      <c r="N151" s="727"/>
      <c r="O151" s="727"/>
      <c r="P151" s="727"/>
      <c r="Q151" s="727"/>
      <c r="R151" s="727"/>
      <c r="S151" s="727"/>
      <c r="T151" s="727"/>
      <c r="U151" s="727"/>
      <c r="V151" s="727"/>
      <c r="W151" s="727"/>
      <c r="X151" s="740">
        <f t="shared" si="166"/>
        <v>0</v>
      </c>
      <c r="Y151" s="725">
        <f t="shared" si="167"/>
        <v>0</v>
      </c>
      <c r="Z151" s="1096"/>
      <c r="AA151" s="1010"/>
      <c r="AB151" s="1010"/>
      <c r="AC151" s="1010"/>
      <c r="AD151" s="1010"/>
      <c r="AE151" s="1010"/>
      <c r="AF151" s="1010"/>
      <c r="AG151" s="1010"/>
      <c r="AH151" s="1010"/>
      <c r="AI151" s="1010"/>
      <c r="AJ151" s="1010"/>
      <c r="AK151" s="1010"/>
      <c r="AL151" s="1010"/>
      <c r="AM151" s="1010"/>
      <c r="AN151" s="1010"/>
      <c r="AO151" s="1010"/>
      <c r="AP151" s="1010"/>
      <c r="AQ151" s="1010"/>
      <c r="AR151" s="1010"/>
    </row>
    <row r="152" spans="1:44" ht="13.5" thickBot="1">
      <c r="A152" s="1196"/>
      <c r="B152" s="1178"/>
      <c r="C152" s="1201"/>
      <c r="D152" s="1053"/>
      <c r="E152" s="1207"/>
      <c r="F152" s="730">
        <f t="shared" si="168"/>
        <v>0</v>
      </c>
      <c r="G152" s="1048"/>
      <c r="H152" s="1181"/>
      <c r="I152" s="1063"/>
      <c r="J152" s="1053"/>
      <c r="K152" s="1053"/>
      <c r="L152" s="1051"/>
      <c r="M152" s="1064">
        <f t="shared" si="169"/>
        <v>0</v>
      </c>
      <c r="N152" s="1053"/>
      <c r="O152" s="1053"/>
      <c r="P152" s="1053"/>
      <c r="Q152" s="1053"/>
      <c r="R152" s="1053"/>
      <c r="S152" s="1053"/>
      <c r="T152" s="1053"/>
      <c r="U152" s="1053"/>
      <c r="V152" s="1053"/>
      <c r="W152" s="1053"/>
      <c r="X152" s="1054">
        <f t="shared" si="166"/>
        <v>0</v>
      </c>
      <c r="Y152" s="1055">
        <f t="shared" si="167"/>
        <v>0</v>
      </c>
      <c r="Z152" s="1096"/>
      <c r="AA152" s="1010"/>
      <c r="AB152" s="1010"/>
      <c r="AC152" s="1010"/>
      <c r="AD152" s="1010"/>
      <c r="AE152" s="1010"/>
      <c r="AF152" s="1010"/>
      <c r="AG152" s="1010"/>
      <c r="AH152" s="1010"/>
      <c r="AI152" s="1010"/>
      <c r="AJ152" s="1010"/>
      <c r="AK152" s="1010"/>
      <c r="AL152" s="1010"/>
      <c r="AM152" s="1010"/>
      <c r="AN152" s="1010"/>
      <c r="AO152" s="1010"/>
      <c r="AP152" s="1010"/>
      <c r="AQ152" s="1010"/>
      <c r="AR152" s="1010"/>
    </row>
    <row r="153" spans="1:44" ht="15" customHeight="1" thickBot="1">
      <c r="A153" s="721" t="s">
        <v>487</v>
      </c>
      <c r="B153" s="945"/>
      <c r="C153" s="872">
        <f>SUM(C148:C152)</f>
        <v>0</v>
      </c>
      <c r="D153" s="1171">
        <f>IF(ISERROR(SUM(D148:D152)/C153),0,((SUM(D148:D152)/C153)))</f>
        <v>0</v>
      </c>
      <c r="E153" s="924">
        <f>SUM(E148:E152)</f>
        <v>0</v>
      </c>
      <c r="F153" s="736">
        <f>IFERROR(E153/C153,0)</f>
        <v>0</v>
      </c>
      <c r="G153" s="855"/>
      <c r="H153" s="855"/>
      <c r="I153" s="873">
        <f>SUM(I148:I152)</f>
        <v>0</v>
      </c>
      <c r="J153" s="1430"/>
      <c r="K153" s="1431"/>
      <c r="L153" s="1432"/>
      <c r="M153" s="754">
        <f>IF(ISERROR(SUM(M148:M152)/I153),0,(SUM(M148:M152)/I153))</f>
        <v>0</v>
      </c>
      <c r="N153" s="754">
        <f>IF(ISERROR(SUM(N148:N152)/I153),0,(SUM(N148:N152)/I153))</f>
        <v>0</v>
      </c>
      <c r="O153" s="754">
        <f>IF(ISERROR(SUM(O148:O152)/I153),0,(SUM(O148:O152)/I153))</f>
        <v>0</v>
      </c>
      <c r="P153" s="754">
        <f>IF(ISERROR(SUM(P148:P152)/I153),0,(SUM(P148:P152)/I153))</f>
        <v>0</v>
      </c>
      <c r="Q153" s="754">
        <f>IF(ISERROR(SUM(Q148:Q152)/I153),0,(SUM(Q148:Q152)/I153))</f>
        <v>0</v>
      </c>
      <c r="R153" s="754">
        <f>IF(ISERROR(SUM(R148:R152)/I153),0,(SUM(R148:R152)/I153))</f>
        <v>0</v>
      </c>
      <c r="S153" s="754">
        <f>IF(ISERROR(SUM(S148:S152)/I153),0,(SUM(S148:S152)/I153))</f>
        <v>0</v>
      </c>
      <c r="T153" s="754">
        <f>IF(ISERROR(SUM(T148:T152)/I153),0,(SUM(T148:T152)/I153))</f>
        <v>0</v>
      </c>
      <c r="U153" s="754">
        <f>IF(ISERROR(SUM(U148:U152)/I153),0,(SUM(U148:U152)/I153))</f>
        <v>0</v>
      </c>
      <c r="V153" s="754">
        <f>IF(ISERROR(SUM(V148:V152)/I153),0,(SUM(V148:V152)/I153))</f>
        <v>0</v>
      </c>
      <c r="W153" s="754">
        <f>IF(ISERROR(SUM(W148:W152)/I153),0,(SUM(W148:W152)/I153))</f>
        <v>0</v>
      </c>
      <c r="X153" s="754">
        <f>SUM(X148:X152)</f>
        <v>0</v>
      </c>
      <c r="Y153" s="736">
        <f>IFERROR(SUM(X153/I153),0)</f>
        <v>0</v>
      </c>
      <c r="Z153" s="1097"/>
      <c r="AA153" s="1011"/>
      <c r="AB153" s="1011"/>
      <c r="AC153" s="1011"/>
      <c r="AD153" s="1011"/>
      <c r="AE153" s="1011"/>
      <c r="AF153" s="1011"/>
      <c r="AG153" s="1011"/>
      <c r="AH153" s="1011"/>
      <c r="AI153" s="1011"/>
      <c r="AJ153" s="1011"/>
      <c r="AK153" s="1011"/>
      <c r="AL153" s="1011"/>
      <c r="AM153" s="1011"/>
      <c r="AN153" s="1011"/>
      <c r="AO153" s="1011"/>
      <c r="AP153" s="1011"/>
      <c r="AQ153" s="1011"/>
      <c r="AR153" s="1011"/>
    </row>
    <row r="154" spans="1:44" ht="13.5" thickBot="1">
      <c r="D154" s="1173"/>
      <c r="E154" s="743"/>
      <c r="F154" s="744"/>
      <c r="G154" s="745"/>
      <c r="H154" s="745"/>
      <c r="X154" s="756" t="s">
        <v>506</v>
      </c>
      <c r="Y154" s="757" t="str">
        <f>IFERROR(Y153*100/F153-100,"")</f>
        <v/>
      </c>
      <c r="Z154" s="1098"/>
      <c r="AA154" s="737"/>
      <c r="AB154" s="737"/>
      <c r="AC154" s="737"/>
      <c r="AD154" s="737"/>
      <c r="AE154" s="737"/>
      <c r="AF154" s="737"/>
      <c r="AG154" s="737"/>
      <c r="AH154" s="737"/>
      <c r="AI154" s="737"/>
      <c r="AJ154" s="737"/>
      <c r="AK154" s="737"/>
      <c r="AL154" s="737"/>
      <c r="AM154" s="737"/>
      <c r="AN154" s="737"/>
      <c r="AO154" s="737"/>
      <c r="AP154" s="737"/>
      <c r="AQ154" s="737"/>
      <c r="AR154" s="737"/>
    </row>
    <row r="155" spans="1:44" ht="13.5" thickBot="1">
      <c r="D155" s="934"/>
      <c r="E155" s="934"/>
      <c r="Z155" s="1092"/>
    </row>
    <row r="156" spans="1:44" ht="39" thickBot="1">
      <c r="A156" s="1076" t="s">
        <v>488</v>
      </c>
      <c r="B156" s="1077"/>
      <c r="C156" s="1078" t="s">
        <v>387</v>
      </c>
      <c r="D156" s="1078" t="s">
        <v>489</v>
      </c>
      <c r="E156" s="1078" t="s">
        <v>490</v>
      </c>
      <c r="F156" s="1069" t="s">
        <v>491</v>
      </c>
      <c r="G156" s="1065" t="s">
        <v>488</v>
      </c>
      <c r="H156" s="1066"/>
      <c r="I156" s="1066"/>
      <c r="J156" s="1067"/>
      <c r="K156" s="1067"/>
      <c r="L156" s="1067"/>
      <c r="M156" s="1067"/>
      <c r="N156" s="1067"/>
      <c r="O156" s="1067"/>
      <c r="P156" s="1067"/>
      <c r="Q156" s="1067"/>
      <c r="R156" s="1067"/>
      <c r="S156" s="1067"/>
      <c r="T156" s="1068"/>
      <c r="U156" s="1068"/>
      <c r="V156" s="1068" t="s">
        <v>387</v>
      </c>
      <c r="W156" s="1068" t="s">
        <v>489</v>
      </c>
      <c r="X156" s="1068" t="s">
        <v>490</v>
      </c>
      <c r="Y156" s="1069" t="s">
        <v>491</v>
      </c>
      <c r="Z156" s="1100"/>
      <c r="AA156" s="1013"/>
      <c r="AB156" s="1013"/>
      <c r="AC156" s="1013"/>
      <c r="AD156" s="1013"/>
      <c r="AE156" s="1013"/>
      <c r="AF156" s="1013"/>
      <c r="AG156" s="1013"/>
      <c r="AH156" s="1013"/>
      <c r="AI156" s="1013"/>
      <c r="AJ156" s="1013"/>
      <c r="AK156" s="1013"/>
      <c r="AL156" s="1013"/>
      <c r="AM156" s="1013"/>
      <c r="AN156" s="1013"/>
      <c r="AO156" s="1013"/>
      <c r="AP156" s="1013"/>
      <c r="AQ156" s="1013"/>
      <c r="AR156" s="1013"/>
    </row>
    <row r="157" spans="1:44">
      <c r="A157" s="763" t="s">
        <v>492</v>
      </c>
      <c r="B157" s="946"/>
      <c r="C157" s="1208"/>
      <c r="D157" s="1202"/>
      <c r="E157" s="966">
        <f>D157*C157</f>
        <v>0</v>
      </c>
      <c r="F157" s="764"/>
      <c r="G157" s="1070"/>
      <c r="H157" s="832"/>
      <c r="I157" s="765"/>
      <c r="J157" s="765"/>
      <c r="K157" s="765"/>
      <c r="L157" s="765"/>
      <c r="M157" s="765"/>
      <c r="N157" s="765"/>
      <c r="O157" s="765"/>
      <c r="P157" s="765"/>
      <c r="Q157" s="765"/>
      <c r="R157" s="765"/>
      <c r="S157" s="765"/>
      <c r="T157" s="765"/>
      <c r="U157" s="765"/>
      <c r="V157" s="878"/>
      <c r="W157" s="727"/>
      <c r="X157" s="766">
        <f>IFERROR(W157*V157,"")</f>
        <v>0</v>
      </c>
      <c r="Y157" s="764"/>
      <c r="Z157" s="1101"/>
      <c r="AA157" s="832"/>
      <c r="AB157" s="832"/>
      <c r="AC157" s="832"/>
      <c r="AD157" s="832"/>
      <c r="AE157" s="832"/>
      <c r="AF157" s="832"/>
      <c r="AG157" s="832"/>
      <c r="AH157" s="832"/>
      <c r="AI157" s="832"/>
      <c r="AJ157" s="832"/>
      <c r="AK157" s="832"/>
      <c r="AL157" s="832"/>
      <c r="AM157" s="832"/>
      <c r="AN157" s="832"/>
      <c r="AO157" s="832"/>
      <c r="AP157" s="832"/>
      <c r="AQ157" s="832"/>
      <c r="AR157" s="832"/>
    </row>
    <row r="158" spans="1:44" ht="13.5" thickBot="1">
      <c r="A158" s="767" t="s">
        <v>493</v>
      </c>
      <c r="B158" s="967"/>
      <c r="C158" s="1074"/>
      <c r="D158" s="1207"/>
      <c r="E158" s="968">
        <f>D158*C158</f>
        <v>0</v>
      </c>
      <c r="F158" s="768"/>
      <c r="G158" s="1071"/>
      <c r="H158" s="1072"/>
      <c r="I158" s="1073"/>
      <c r="J158" s="1073"/>
      <c r="K158" s="1073"/>
      <c r="L158" s="1073"/>
      <c r="M158" s="1073"/>
      <c r="N158" s="1073"/>
      <c r="O158" s="1073"/>
      <c r="P158" s="1073"/>
      <c r="Q158" s="1073"/>
      <c r="R158" s="1073"/>
      <c r="S158" s="1073"/>
      <c r="T158" s="1073"/>
      <c r="U158" s="1073"/>
      <c r="V158" s="1074"/>
      <c r="W158" s="1053"/>
      <c r="X158" s="1075">
        <f>IFERROR(W158*V158,"")</f>
        <v>0</v>
      </c>
      <c r="Y158" s="768"/>
      <c r="Z158" s="1101"/>
      <c r="AA158" s="832"/>
      <c r="AB158" s="832"/>
      <c r="AC158" s="832"/>
      <c r="AD158" s="832"/>
      <c r="AE158" s="832"/>
      <c r="AF158" s="832"/>
      <c r="AG158" s="832"/>
      <c r="AH158" s="832"/>
      <c r="AI158" s="832"/>
      <c r="AJ158" s="832"/>
      <c r="AK158" s="832"/>
      <c r="AL158" s="832"/>
      <c r="AM158" s="832"/>
      <c r="AN158" s="832"/>
      <c r="AO158" s="832"/>
      <c r="AP158" s="832"/>
      <c r="AQ158" s="832"/>
      <c r="AR158" s="832"/>
    </row>
    <row r="159" spans="1:44" ht="15" customHeight="1" thickBot="1">
      <c r="A159" s="741" t="s">
        <v>494</v>
      </c>
      <c r="B159" s="741"/>
      <c r="C159" s="963">
        <f>SUM(C157:C158)</f>
        <v>0</v>
      </c>
      <c r="D159" s="964"/>
      <c r="E159" s="965"/>
      <c r="F159" s="770">
        <f>IF(ISERROR(SUM(E157:E158)/C159),0,(SUM(E157:E158)/C159))</f>
        <v>0</v>
      </c>
      <c r="G159" s="1389"/>
      <c r="H159" s="1390"/>
      <c r="I159" s="1390"/>
      <c r="J159" s="1390"/>
      <c r="K159" s="1390"/>
      <c r="L159" s="1390"/>
      <c r="M159" s="1390"/>
      <c r="N159" s="1390"/>
      <c r="O159" s="1390"/>
      <c r="P159" s="1390"/>
      <c r="Q159" s="1390"/>
      <c r="R159" s="1390"/>
      <c r="S159" s="1390"/>
      <c r="T159" s="1390"/>
      <c r="U159" s="1391"/>
      <c r="V159" s="879">
        <f>SUM(V157:V158)</f>
        <v>0</v>
      </c>
      <c r="W159" s="944"/>
      <c r="X159" s="769"/>
      <c r="Y159" s="770">
        <f>IF(ISERROR(SUM(X157:X158)/V159),0,(SUM(X157:X158)/V159))</f>
        <v>0</v>
      </c>
      <c r="Z159" s="1102"/>
      <c r="AA159" s="1014"/>
      <c r="AB159" s="1014"/>
      <c r="AC159" s="1014"/>
      <c r="AD159" s="1014"/>
      <c r="AE159" s="1014"/>
      <c r="AF159" s="1014"/>
      <c r="AG159" s="1014"/>
      <c r="AH159" s="1014"/>
      <c r="AI159" s="1014"/>
      <c r="AJ159" s="1014"/>
      <c r="AK159" s="1014"/>
      <c r="AL159" s="1014"/>
      <c r="AM159" s="1014"/>
      <c r="AN159" s="1014"/>
      <c r="AO159" s="1014"/>
      <c r="AP159" s="1014"/>
      <c r="AQ159" s="1014"/>
      <c r="AR159" s="1014"/>
    </row>
    <row r="160" spans="1:44">
      <c r="A160" s="845"/>
      <c r="Z160" s="1092"/>
    </row>
    <row r="161" spans="1:44">
      <c r="A161" s="1024" t="s">
        <v>557</v>
      </c>
      <c r="Z161" s="1103" t="s">
        <v>558</v>
      </c>
      <c r="AA161" s="1025">
        <f>SUM(AA22:AA136)</f>
        <v>0</v>
      </c>
      <c r="AB161" s="1025">
        <f t="shared" ref="AB161:AR161" si="170">SUM(AB22:AB136)</f>
        <v>0</v>
      </c>
      <c r="AC161" s="1025">
        <f t="shared" si="170"/>
        <v>0</v>
      </c>
      <c r="AD161" s="1025">
        <f t="shared" si="170"/>
        <v>0</v>
      </c>
      <c r="AE161" s="1026">
        <f t="shared" si="170"/>
        <v>0</v>
      </c>
      <c r="AF161" s="1026">
        <f t="shared" si="170"/>
        <v>0</v>
      </c>
      <c r="AG161" s="1026">
        <f t="shared" si="170"/>
        <v>0</v>
      </c>
      <c r="AH161" s="1026">
        <f t="shared" si="170"/>
        <v>0</v>
      </c>
      <c r="AI161" s="1027">
        <f t="shared" si="170"/>
        <v>0</v>
      </c>
      <c r="AJ161" s="1027">
        <f t="shared" si="170"/>
        <v>0</v>
      </c>
      <c r="AK161" s="1027">
        <f t="shared" si="170"/>
        <v>0</v>
      </c>
      <c r="AL161" s="1027">
        <f t="shared" si="170"/>
        <v>0</v>
      </c>
      <c r="AM161" s="1025">
        <f t="shared" si="170"/>
        <v>0</v>
      </c>
      <c r="AN161" s="1026">
        <f t="shared" si="170"/>
        <v>0</v>
      </c>
      <c r="AO161" s="1027">
        <f t="shared" si="170"/>
        <v>0</v>
      </c>
      <c r="AP161" s="1025">
        <f t="shared" si="170"/>
        <v>0</v>
      </c>
      <c r="AQ161" s="1026">
        <f t="shared" si="170"/>
        <v>0</v>
      </c>
      <c r="AR161" s="1027">
        <f t="shared" si="170"/>
        <v>0</v>
      </c>
    </row>
    <row r="162" spans="1:44" ht="13.5" thickBot="1">
      <c r="A162" s="845"/>
      <c r="Z162" s="1092"/>
      <c r="AA162" s="1028">
        <f>IFERROR(AA161/$AM$161,0)</f>
        <v>0</v>
      </c>
      <c r="AB162" s="1028">
        <f>IFERROR(AB161/$AM$161,0)</f>
        <v>0</v>
      </c>
      <c r="AC162" s="1028">
        <f>IFERROR(AC161/$AM$161,0)</f>
        <v>0</v>
      </c>
      <c r="AD162" s="1028">
        <f>IFERROR(AD161/$AM$161,0)</f>
        <v>0</v>
      </c>
      <c r="AE162" s="1029">
        <f>IFERROR(AE161/$AN$161,0)</f>
        <v>0</v>
      </c>
      <c r="AF162" s="1029">
        <f t="shared" ref="AF162:AH162" si="171">IFERROR(AF161/$AN$161,0)</f>
        <v>0</v>
      </c>
      <c r="AG162" s="1029">
        <f t="shared" si="171"/>
        <v>0</v>
      </c>
      <c r="AH162" s="1029">
        <f t="shared" si="171"/>
        <v>0</v>
      </c>
      <c r="AI162" s="1030">
        <f>IFERROR(AI161/$AO$161,0)</f>
        <v>0</v>
      </c>
      <c r="AJ162" s="1030">
        <f t="shared" ref="AJ162:AL162" si="172">IFERROR(AJ161/$AO$161,0)</f>
        <v>0</v>
      </c>
      <c r="AK162" s="1030">
        <f t="shared" si="172"/>
        <v>0</v>
      </c>
      <c r="AL162" s="1030">
        <f t="shared" si="172"/>
        <v>0</v>
      </c>
      <c r="AM162" s="1031"/>
      <c r="AN162" s="1031"/>
      <c r="AO162" s="1031"/>
      <c r="AP162" s="1028">
        <f>IFERROR(AP161/AM161,0)</f>
        <v>0</v>
      </c>
      <c r="AQ162" s="1029">
        <f>IFERROR(AQ161/AO161,0)</f>
        <v>0</v>
      </c>
      <c r="AR162" s="1030">
        <f>IFERROR(AR161/AO161,0)</f>
        <v>0</v>
      </c>
    </row>
    <row r="163" spans="1:44">
      <c r="A163" s="1080" t="s">
        <v>561</v>
      </c>
      <c r="B163" s="1081" t="s">
        <v>535</v>
      </c>
      <c r="C163" s="1421" t="s">
        <v>536</v>
      </c>
      <c r="D163" s="1422"/>
      <c r="E163" s="1423" t="s">
        <v>537</v>
      </c>
      <c r="F163" s="1424"/>
      <c r="Z163" s="1092"/>
      <c r="AA163" s="1418">
        <f>SUM(AA162:AD162)</f>
        <v>0</v>
      </c>
      <c r="AB163" s="1419"/>
      <c r="AC163" s="1419"/>
      <c r="AD163" s="1420"/>
      <c r="AE163" s="1397">
        <f>SUM(AE162:AH162)</f>
        <v>0</v>
      </c>
      <c r="AF163" s="1398"/>
      <c r="AG163" s="1398"/>
      <c r="AH163" s="1399"/>
      <c r="AI163" s="1401">
        <f>SUM(AI162:AL162)</f>
        <v>0</v>
      </c>
      <c r="AJ163" s="1402"/>
      <c r="AK163" s="1402"/>
      <c r="AL163" s="1403"/>
    </row>
    <row r="164" spans="1:44" ht="13.5" thickBot="1">
      <c r="A164" s="1082"/>
      <c r="B164" s="1083" t="s">
        <v>562</v>
      </c>
      <c r="C164" s="1425" t="s">
        <v>563</v>
      </c>
      <c r="D164" s="1426"/>
      <c r="E164" s="1427" t="s">
        <v>564</v>
      </c>
      <c r="F164" s="1428"/>
    </row>
    <row r="165" spans="1:44">
      <c r="A165" s="1087"/>
      <c r="B165" s="1084"/>
      <c r="C165" s="1084"/>
      <c r="D165" s="1084"/>
      <c r="E165" s="1084"/>
      <c r="F165" s="1084"/>
    </row>
    <row r="166" spans="1:44">
      <c r="A166" s="1085" t="s">
        <v>565</v>
      </c>
      <c r="B166" s="1216">
        <f>AA163</f>
        <v>0</v>
      </c>
      <c r="C166" s="1429">
        <f>AE163</f>
        <v>0</v>
      </c>
      <c r="D166" s="1429"/>
      <c r="E166" s="1400">
        <f>AI163</f>
        <v>0</v>
      </c>
      <c r="F166" s="1400"/>
    </row>
    <row r="167" spans="1:44" ht="13.5" thickBot="1">
      <c r="A167" s="1086" t="s">
        <v>566</v>
      </c>
      <c r="B167" s="1217">
        <f>40*13/3</f>
        <v>173.33333333333334</v>
      </c>
      <c r="C167" s="1414">
        <f>40*13/3</f>
        <v>173.33333333333334</v>
      </c>
      <c r="D167" s="1414"/>
      <c r="E167" s="1415">
        <f>40*13/3</f>
        <v>173.33333333333334</v>
      </c>
      <c r="F167" s="1415"/>
      <c r="AA167" s="1303" t="s">
        <v>738</v>
      </c>
      <c r="AB167" s="1303" t="s">
        <v>739</v>
      </c>
      <c r="AC167" s="1303" t="s">
        <v>740</v>
      </c>
      <c r="AD167" s="1303" t="s">
        <v>741</v>
      </c>
      <c r="AE167" s="1303" t="s">
        <v>742</v>
      </c>
      <c r="AF167" s="1303" t="s">
        <v>743</v>
      </c>
      <c r="AG167" s="1303" t="s">
        <v>744</v>
      </c>
      <c r="AH167" s="1303" t="s">
        <v>745</v>
      </c>
      <c r="AI167" s="1303" t="s">
        <v>746</v>
      </c>
      <c r="AJ167" s="1303" t="s">
        <v>747</v>
      </c>
    </row>
    <row r="168" spans="1:44" ht="26.25" thickBot="1">
      <c r="A168" s="1107" t="s">
        <v>575</v>
      </c>
      <c r="B168" s="1218">
        <f>IFERROR(B166/B167,0)</f>
        <v>0</v>
      </c>
      <c r="C168" s="1416">
        <f>IFERROR(C166/C167,0)</f>
        <v>0</v>
      </c>
      <c r="D168" s="1417">
        <f t="shared" ref="D168:F168" si="173">IFERROR(D166/D167,0)</f>
        <v>0</v>
      </c>
      <c r="E168" s="1416">
        <f>IFERROR(E166/E167,0)</f>
        <v>0</v>
      </c>
      <c r="F168" s="1417">
        <f t="shared" si="173"/>
        <v>0</v>
      </c>
      <c r="AA168" s="1304">
        <f>B168</f>
        <v>0</v>
      </c>
      <c r="AB168" s="1305">
        <f>C168</f>
        <v>0</v>
      </c>
      <c r="AC168" s="1305">
        <f>E168</f>
        <v>0</v>
      </c>
      <c r="AD168" s="1306">
        <f>B174</f>
        <v>0</v>
      </c>
      <c r="AE168" s="1307">
        <f>B170</f>
        <v>0</v>
      </c>
      <c r="AF168" s="1307">
        <f>C170</f>
        <v>0</v>
      </c>
      <c r="AG168" s="1307">
        <f>E170</f>
        <v>0</v>
      </c>
      <c r="AH168" s="1308">
        <f>B176</f>
        <v>0</v>
      </c>
      <c r="AI168" s="1308">
        <f>C176</f>
        <v>0</v>
      </c>
      <c r="AJ168" s="1308">
        <f>E176</f>
        <v>0</v>
      </c>
    </row>
    <row r="169" spans="1:44">
      <c r="A169" s="1087"/>
      <c r="B169" s="1219"/>
      <c r="C169" s="1219"/>
      <c r="D169" s="1219"/>
      <c r="E169" s="1219"/>
      <c r="F169" s="1219"/>
    </row>
    <row r="170" spans="1:44">
      <c r="A170" s="1088" t="s">
        <v>567</v>
      </c>
      <c r="B170" s="1215">
        <f>AM161</f>
        <v>0</v>
      </c>
      <c r="C170" s="1404">
        <f>AN161</f>
        <v>0</v>
      </c>
      <c r="D170" s="1405"/>
      <c r="E170" s="1408">
        <f>AO161</f>
        <v>0</v>
      </c>
      <c r="F170" s="1409"/>
    </row>
    <row r="171" spans="1:44" ht="13.5" thickBot="1">
      <c r="A171" s="1086" t="s">
        <v>568</v>
      </c>
      <c r="B171" s="1410">
        <f>SUM(B170:F170)</f>
        <v>0</v>
      </c>
      <c r="C171" s="1411"/>
      <c r="D171" s="1411"/>
      <c r="E171" s="1411"/>
      <c r="F171" s="1411"/>
    </row>
    <row r="172" spans="1:44" ht="26.25" thickBot="1">
      <c r="A172" s="1089" t="s">
        <v>569</v>
      </c>
      <c r="B172" s="1220">
        <f>IFERROR(B170/B171,0)</f>
        <v>0</v>
      </c>
      <c r="C172" s="1406">
        <f>IFERROR(C170/B171,0)</f>
        <v>0</v>
      </c>
      <c r="D172" s="1407"/>
      <c r="E172" s="1412">
        <f>IFERROR(E170/B171,0)</f>
        <v>0</v>
      </c>
      <c r="F172" s="1413"/>
    </row>
    <row r="173" spans="1:44" ht="13.5" thickBot="1">
      <c r="A173" s="1087"/>
      <c r="B173" s="1219"/>
      <c r="C173" s="1219"/>
      <c r="D173" s="1219"/>
      <c r="E173" s="1219"/>
      <c r="F173" s="1219"/>
    </row>
    <row r="174" spans="1:44" ht="26.25" thickBot="1">
      <c r="A174" s="1221" t="s">
        <v>570</v>
      </c>
      <c r="B174" s="1392">
        <f>IFERROR(B172*B168+C168*C172+E172*E168,0)</f>
        <v>0</v>
      </c>
      <c r="C174" s="1393"/>
      <c r="D174" s="1393"/>
      <c r="E174" s="1393"/>
      <c r="F174" s="1394"/>
    </row>
    <row r="175" spans="1:44">
      <c r="A175" s="1087"/>
      <c r="B175" s="1219"/>
      <c r="C175" s="1219"/>
      <c r="D175" s="1219"/>
      <c r="E175" s="1219"/>
      <c r="F175" s="1219"/>
    </row>
    <row r="176" spans="1:44" ht="25.5">
      <c r="A176" s="1222" t="s">
        <v>571</v>
      </c>
      <c r="B176" s="1186">
        <f>IFERROR(AP161/AM161,0)</f>
        <v>0</v>
      </c>
      <c r="C176" s="1395">
        <f>IFERROR(AQ161/AN161,0)</f>
        <v>0</v>
      </c>
      <c r="D176" s="1396"/>
      <c r="E176" s="1395">
        <f>IFERROR(AR161/AO161,0)</f>
        <v>0</v>
      </c>
      <c r="F176" s="1396"/>
    </row>
    <row r="177" spans="1:49">
      <c r="A177" s="1087"/>
      <c r="B177" s="1084"/>
      <c r="C177" s="1084"/>
      <c r="D177" s="1084"/>
      <c r="E177" s="1084"/>
      <c r="F177" s="1084"/>
    </row>
    <row r="178" spans="1:49" ht="13.5" thickBot="1">
      <c r="A178" s="845"/>
      <c r="Y178" s="1167"/>
    </row>
    <row r="179" spans="1:49" ht="15" thickBot="1">
      <c r="A179" s="845"/>
      <c r="B179" s="845"/>
      <c r="E179" s="1370" t="s">
        <v>245</v>
      </c>
      <c r="F179" s="1371"/>
      <c r="G179" s="1371"/>
      <c r="H179" s="1371"/>
      <c r="I179" s="1371"/>
      <c r="J179" s="1371"/>
      <c r="K179" s="1371"/>
      <c r="L179" s="1371"/>
      <c r="M179" s="1371"/>
      <c r="N179" s="1371"/>
      <c r="O179" s="1371"/>
      <c r="P179" s="1450"/>
      <c r="Q179" s="1450"/>
      <c r="R179" s="1450"/>
      <c r="S179" s="1450"/>
      <c r="T179" s="1450"/>
      <c r="U179" s="1450"/>
      <c r="V179" s="1450"/>
      <c r="W179" s="1450"/>
      <c r="X179" s="1450"/>
      <c r="Y179" s="1451"/>
      <c r="Z179"/>
      <c r="AA179"/>
      <c r="AB179"/>
      <c r="AC179"/>
      <c r="AD179"/>
      <c r="AE179"/>
      <c r="AF179"/>
      <c r="AG179"/>
      <c r="AH179"/>
      <c r="AI179"/>
      <c r="AJ179"/>
      <c r="AK179"/>
      <c r="AL179"/>
      <c r="AM179"/>
      <c r="AN179"/>
      <c r="AO179"/>
      <c r="AP179"/>
      <c r="AQ179"/>
      <c r="AR179"/>
      <c r="AW179" s="825"/>
    </row>
  </sheetData>
  <sheetProtection algorithmName="SHA-512" hashValue="eUFolJ7F0W/YU3KfS+6d7/9+o11cl9aE/WvVq6ElrPm4FCnLuqUl3P1MH6h+heqw/7VeQGsMCwitN7rcXfOkGQ==" saltValue="lHsNadNF0IySpXEDnKECmA==" spinCount="100000" sheet="1" objects="1" scenarios="1"/>
  <customSheetViews>
    <customSheetView guid="{CDDBAA41-0D3E-44AF-A85A-332C81A5DAE4}" scale="85" showGridLines="0" hiddenRows="1" hiddenColumns="1">
      <pane ySplit="16" topLeftCell="A18" activePane="bottomLeft" state="frozen"/>
      <selection pane="bottomLeft" activeCell="J115" sqref="J115"/>
      <rowBreaks count="1" manualBreakCount="1">
        <brk id="82" max="17" man="1"/>
      </rowBreaks>
      <pageMargins left="0.70866141732283472" right="0.70866141732283472" top="0.39370078740157483" bottom="0.39370078740157483" header="0.19685039370078741" footer="0.19685039370078741"/>
      <printOptions horizontalCentered="1" verticalCentered="1"/>
      <pageSetup paperSize="9" scale="48" fitToHeight="2" orientation="landscape"/>
      <headerFooter>
        <oddHeader>&amp;C&amp;9Seite Personalkostenaufstellung</oddHeader>
        <oddFooter>&amp;C&amp;8Verhandlungsunterlagen SGB XI&amp;R&amp;8Version Kostenträger Stand: 29.11.2018</oddFooter>
      </headerFooter>
    </customSheetView>
  </customSheetViews>
  <mergeCells count="65">
    <mergeCell ref="AM19:AO19"/>
    <mergeCell ref="AP19:AR19"/>
    <mergeCell ref="X17:X19"/>
    <mergeCell ref="Y17:Y19"/>
    <mergeCell ref="V17:W17"/>
    <mergeCell ref="V18:W18"/>
    <mergeCell ref="AA18:AR18"/>
    <mergeCell ref="P18:Q18"/>
    <mergeCell ref="R18:S18"/>
    <mergeCell ref="T18:T19"/>
    <mergeCell ref="U18:U19"/>
    <mergeCell ref="K17:K19"/>
    <mergeCell ref="L17:L19"/>
    <mergeCell ref="M18:M19"/>
    <mergeCell ref="O18:O19"/>
    <mergeCell ref="N18:N19"/>
    <mergeCell ref="G6:Y6"/>
    <mergeCell ref="G16:Y16"/>
    <mergeCell ref="E179:Y179"/>
    <mergeCell ref="AX18:AX21"/>
    <mergeCell ref="M17:S17"/>
    <mergeCell ref="M10:Q10"/>
    <mergeCell ref="T17:U17"/>
    <mergeCell ref="J92:L92"/>
    <mergeCell ref="M9:Q9"/>
    <mergeCell ref="A16:F16"/>
    <mergeCell ref="A17:A19"/>
    <mergeCell ref="B17:B19"/>
    <mergeCell ref="C17:C19"/>
    <mergeCell ref="D17:D19"/>
    <mergeCell ref="E17:E19"/>
    <mergeCell ref="F17:F19"/>
    <mergeCell ref="G17:G19"/>
    <mergeCell ref="H17:H19"/>
    <mergeCell ref="I17:I19"/>
    <mergeCell ref="J17:J19"/>
    <mergeCell ref="J145:L145"/>
    <mergeCell ref="J153:L153"/>
    <mergeCell ref="J81:L81"/>
    <mergeCell ref="J105:L105"/>
    <mergeCell ref="J113:L113"/>
    <mergeCell ref="J125:L125"/>
    <mergeCell ref="J137:L137"/>
    <mergeCell ref="AI163:AL163"/>
    <mergeCell ref="C170:D170"/>
    <mergeCell ref="C172:D172"/>
    <mergeCell ref="E170:F170"/>
    <mergeCell ref="B171:F171"/>
    <mergeCell ref="E172:F172"/>
    <mergeCell ref="C167:D167"/>
    <mergeCell ref="E167:F167"/>
    <mergeCell ref="C168:D168"/>
    <mergeCell ref="E168:F168"/>
    <mergeCell ref="AA163:AD163"/>
    <mergeCell ref="C163:D163"/>
    <mergeCell ref="E163:F163"/>
    <mergeCell ref="C164:D164"/>
    <mergeCell ref="E164:F164"/>
    <mergeCell ref="C166:D166"/>
    <mergeCell ref="G159:U159"/>
    <mergeCell ref="B174:F174"/>
    <mergeCell ref="C176:D176"/>
    <mergeCell ref="E176:F176"/>
    <mergeCell ref="AE163:AH163"/>
    <mergeCell ref="E166:F166"/>
  </mergeCells>
  <conditionalFormatting sqref="J8:K8">
    <cfRule type="expression" dxfId="97" priority="2">
      <formula>$G$7="ja"</formula>
    </cfRule>
  </conditionalFormatting>
  <conditionalFormatting sqref="J8:N8">
    <cfRule type="expression" dxfId="96" priority="1">
      <formula>$M$7="ja"</formula>
    </cfRule>
  </conditionalFormatting>
  <dataValidations xWindow="688" yWindow="674" count="6">
    <dataValidation allowBlank="1" showInputMessage="1" showErrorMessage="1" errorTitle="Berechnungshinweis" promptTitle="Berechnungshinweis" prompt="Die prozentualen Personalkostensteigerungen müssen bei der prognostischen Abbildung der einzelnen Entgeltbestandteile bereits enthalten sein." sqref="S14" xr:uid="{00000000-0002-0000-0400-000000000000}"/>
    <dataValidation allowBlank="1" showInputMessage="1" showErrorMessage="1" promptTitle="Eingabe" prompt="mit 3 Nachkommastellen" sqref="C22:C48 I52:I80 I87:I91 I96:I104 I116:I124 I128:I136 I148:I152 C148:C152 C140:C144 C128:C136 C116:C124 C108:C112 C96:C104 C87:C91 C52:C80 I22:I48" xr:uid="{00000000-0002-0000-0400-000001000000}"/>
    <dataValidation allowBlank="1" showInputMessage="1" showErrorMessage="1" promptTitle="Eingabe " prompt="mit 3 Nachkommastellen" sqref="I108:I112 I140:I144" xr:uid="{00000000-0002-0000-0400-000002000000}"/>
    <dataValidation type="list" allowBlank="1" sqref="G148:G152 G22:G48 G52:G80 G87:G91 G96:G104 G128:G136 G108:G112 G116:G124 G140:G144" xr:uid="{00000000-0002-0000-0400-000003000000}">
      <formula1>"GfB"</formula1>
    </dataValidation>
    <dataValidation allowBlank="1" showInputMessage="1" showErrorMessage="1" promptTitle="Eingabe" prompt="ohne Nachkommastellen" sqref="V157:V158 C157:C158" xr:uid="{00000000-0002-0000-0400-000004000000}"/>
    <dataValidation allowBlank="1" showErrorMessage="1" sqref="T157:U158" xr:uid="{00000000-0002-0000-0400-000005000000}"/>
  </dataValidations>
  <hyperlinks>
    <hyperlink ref="E179" location="'Anlage 1'!A1" display="Anlage 1" xr:uid="{00000000-0004-0000-0400-000000000000}"/>
    <hyperlink ref="E179:O179" location="Sachaufwendungen!A1" display="gehe weiter zu Sachaufwendungen" xr:uid="{00000000-0004-0000-0400-000001000000}"/>
    <hyperlink ref="E179:Y179" location="Personalaufwendungen!A1" display="gehe weiter zu Personalaufwendungen" xr:uid="{00000000-0004-0000-0400-000002000000}"/>
  </hyperlinks>
  <printOptions horizontalCentered="1" verticalCentered="1"/>
  <pageMargins left="0.70866141732283472" right="0.70866141732283472" top="0.39370078740157483" bottom="0.39370078740157483" header="0.19685039370078741" footer="0.19685039370078741"/>
  <pageSetup paperSize="9" scale="33" fitToHeight="2" orientation="landscape"/>
  <headerFooter>
    <oddHeader>&amp;C&amp;9Seite Personalkostenaufstellung - Seite &amp;P</oddHeader>
    <oddFooter>&amp;L&amp;8Version: 21.11.2024&amp;C&amp;8Verhandlungsunterlagen TP/KZP SGB XI&amp;R&amp;8PSK vom 07.11.2024</oddFooter>
  </headerFooter>
  <rowBreaks count="1" manualBreakCount="1">
    <brk id="85" max="23" man="1"/>
  </rowBreaks>
  <ignoredErrors>
    <ignoredError sqref="M22:M48 M52:M80 M87:M91 M96:M104 M108:M112 M116:M124 M128:M136 M140:M144 M148:M152" unlockedFormula="1"/>
    <ignoredError sqref="D145 D153 D92 D105 D113 D125 D137" formula="1"/>
  </ignoredErrors>
  <extLst>
    <ext xmlns:x14="http://schemas.microsoft.com/office/spreadsheetml/2009/9/main" uri="{CCE6A557-97BC-4b89-ADB6-D9C93CAAB3DF}">
      <x14:dataValidations xmlns:xm="http://schemas.microsoft.com/office/excel/2006/main" xWindow="688" yWindow="674" count="14">
        <x14:dataValidation type="list" allowBlank="1" showInputMessage="1" showErrorMessage="1" xr:uid="{00000000-0002-0000-0400-000006000000}">
          <x14:formula1>
            <xm:f>KAT!$D$23:$D$24</xm:f>
          </x14:formula1>
          <xm:sqref>M8</xm:sqref>
        </x14:dataValidation>
        <x14:dataValidation type="list" allowBlank="1" showInputMessage="1" showErrorMessage="1" promptTitle="Beschäftigungsgruppen" prompt="PDL = Pflegedienstleitung_x000a_stellv. PDL = stellvertretende Pflegedienstleitung_x000a_PFK/BFK = Pflegefachkraft/ Betreuungsfachkraft mit mind. 3 Jahre Berufsausbildung" xr:uid="{00000000-0002-0000-0400-000007000000}">
          <x14:formula1>
            <xm:f>KAT!$A$23:$A$26</xm:f>
          </x14:formula1>
          <xm:sqref>B22:B48</xm:sqref>
        </x14:dataValidation>
        <x14:dataValidation type="list" allowBlank="1" showInputMessage="1" showErrorMessage="1" promptTitle="Beschäftigungsgruppen:" prompt="PK/BK = Pflegekraft/ Betreuungsfachkraft mit mind. 1 Jahr Berufsausbildung_x000a_PK/BK o. = Pflegekraft/ Betreuungskraft ohne mind. 1 Jahr Berufsausbildung" xr:uid="{00000000-0002-0000-0400-000008000000}">
          <x14:formula1>
            <xm:f>KAT!$A$27:$A$29</xm:f>
          </x14:formula1>
          <xm:sqref>B52:B80</xm:sqref>
        </x14:dataValidation>
        <x14:dataValidation type="list" allowBlank="1" showInputMessage="1" showErrorMessage="1" promptTitle="Beschäftigungsgruppen:" prompt="PFK/BFK = Pflegefachkraft/Betreuungsfachkraft mit mind. 3 Jahre Berufsausbildung_x000a_PK/BK = Pflegekraft/Betreuungskraft mit mind. 1 Jahr Berufsausbildung_x000a_PK/BK o. = Pflegekraft/ Betreuungskraft ohne mind. 1 Jahr Berufsausbildung" xr:uid="{00000000-0002-0000-0400-000009000000}">
          <x14:formula1>
            <xm:f>KAT!$A$26:$A$29</xm:f>
          </x14:formula1>
          <xm:sqref>B87:B91</xm:sqref>
        </x14:dataValidation>
        <x14:dataValidation type="list" allowBlank="1" showInputMessage="1" showErrorMessage="1" promptTitle="Beschäftigungsgruppen:" prompt="PFK/BFK = Pflegefachkraft/Betreuungsfachkraft mit mind. 3 Jahre Berufsausbildung_x000a_PK/BK = Pflegekraft/ Betreuungskraft mit mind. 1 Jahr Berufsausbildung_x000a_PK/BK o. = Pflegekraft/ Betreuungskraft ohne mind. 1 Jahr Berufsausbildung" xr:uid="{00000000-0002-0000-0400-00000A000000}">
          <x14:formula1>
            <xm:f>KAT!$A$26:$A$29</xm:f>
          </x14:formula1>
          <xm:sqref>B96:B104</xm:sqref>
        </x14:dataValidation>
        <x14:dataValidation type="list" allowBlank="1" showInputMessage="1" showErrorMessage="1" promptTitle="Beschäftigungsgruppen:" prompt="PDL = Pflegedienstleitung_x000a_stellv. PDL = stellvertrende Pflegedienstleitung" xr:uid="{00000000-0002-0000-0400-00000B000000}">
          <x14:formula1>
            <xm:f>KAT!$A$23:$A$25</xm:f>
          </x14:formula1>
          <xm:sqref>B108:B112</xm:sqref>
        </x14:dataValidation>
        <x14:dataValidation type="list" allowBlank="1" showInputMessage="1" showErrorMessage="1" promptTitle="Beschäftigungsgruppen:" prompt="PK/BK = Pflegekraft/ Betreuungskraft mit mind. 1 Jahr Berufsausbildung_x000a_PK/BK o. = Pflegekraft/ Betreuungskraft ohne mind. 1 Jahr Berufsausbildung" xr:uid="{00000000-0002-0000-0400-00000C000000}">
          <x14:formula1>
            <xm:f>KAT!$A$27:$A$29</xm:f>
          </x14:formula1>
          <xm:sqref>B116:B124 H52:H80</xm:sqref>
        </x14:dataValidation>
        <x14:dataValidation type="list" allowBlank="1" showInputMessage="1" showErrorMessage="1" promptTitle="Beschäftigungsgruppen:" prompt="PK/BK = Pflegekraft/Betreuungskraft mit mind. 1 Jahr Berufsausbildung_x000a_PK/BK o. = Pflegekraft/Betreuungskraft ohne mind. 1 Jahr Berufsausbildung" xr:uid="{00000000-0002-0000-0400-00000D000000}">
          <x14:formula1>
            <xm:f>KAT!$A$27:$A$29</xm:f>
          </x14:formula1>
          <xm:sqref>B128:B136</xm:sqref>
        </x14:dataValidation>
        <x14:dataValidation type="list" allowBlank="1" showInputMessage="1" showErrorMessage="1" promptTitle="Beschäftigungsgruppen:" prompt="PDL = Pflegedienstleitung_x000a_stellv. PDL = stellvertretende Pflegedienstleitung_x000a_PFK/BFK = Pflegefachkraft/ Betreuungsfachkraft mit mind. 3 Jahre Berufserfahrung" xr:uid="{00000000-0002-0000-0400-00000E000000}">
          <x14:formula1>
            <xm:f>KAT!$A$23:$A$26</xm:f>
          </x14:formula1>
          <xm:sqref>H22:H48</xm:sqref>
        </x14:dataValidation>
        <x14:dataValidation type="list" allowBlank="1" showInputMessage="1" showErrorMessage="1" promptTitle="Beschäftigungsgruppen:" prompt="PFK/BFK = Pflegefachkraft/Betreuungsfachkraft mit mind. 3 Jahre Berufsausbildung_x000a_PK/BK = Pflegekraft/ Betreuugnskraft mit mind. 1 Jahr Berufsausbildung_x000a_PK/BK o. = Pflegekraft/Betreuungskraft ohne mind. 1 Jahr Berufsausbildung" xr:uid="{00000000-0002-0000-0400-000010000000}">
          <x14:formula1>
            <xm:f>KAT!$A$26:$A$29</xm:f>
          </x14:formula1>
          <xm:sqref>H87:H91</xm:sqref>
        </x14:dataValidation>
        <x14:dataValidation type="list" allowBlank="1" showInputMessage="1" showErrorMessage="1" promptTitle="Beschäftigungsgruppen:" prompt="PFK/BFK = Pflegefachkraft/Betreuungsfachkraft mit mind. 3 Jahre Berufsausbildung_x000a_PK/BK = Pflegekraft/ Betreungskraft mit mind. 1 Jahr Berufsausbildung'_x000a_PK/BK o. = Pflegekraft/ Betreuungskraft ohne mind. 1 Jahr Berufsausbildung" xr:uid="{00000000-0002-0000-0400-000011000000}">
          <x14:formula1>
            <xm:f>KAT!$A$26:$A$29</xm:f>
          </x14:formula1>
          <xm:sqref>H96:H104</xm:sqref>
        </x14:dataValidation>
        <x14:dataValidation type="list" allowBlank="1" showInputMessage="1" showErrorMessage="1" promptTitle="Beschäftigungsgruppen:" prompt="PDL = Pflegedienstleitung_x000a_stellv. PDL = stellvertretende Pflegedienstleitung" xr:uid="{00000000-0002-0000-0400-000012000000}">
          <x14:formula1>
            <xm:f>KAT!$A$23:$A$25</xm:f>
          </x14:formula1>
          <xm:sqref>H108:H112</xm:sqref>
        </x14:dataValidation>
        <x14:dataValidation type="list" allowBlank="1" showInputMessage="1" showErrorMessage="1" promptTitle="Beschäftigungsgruppen:" prompt="PK/BK = Pflegekraft mit mind. 1 Jahr Berufsausbildung_x000a_PK/BK o. = Pflegekraft/ Betreuungskraft ohne mind. 1 Jahr Berufsausbildung" xr:uid="{00000000-0002-0000-0400-000013000000}">
          <x14:formula1>
            <xm:f>KAT!$A$27:$A$29</xm:f>
          </x14:formula1>
          <xm:sqref>H128:H136 H116:H124</xm:sqref>
        </x14:dataValidation>
        <x14:dataValidation type="list" allowBlank="1" showInputMessage="1" showErrorMessage="1" xr:uid="{00000000-0002-0000-0400-000014000000}">
          <x14:formula1>
            <xm:f>KAT!$C$23:$C$25</xm:f>
          </x14:formula1>
          <xm:sqref>M7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pageSetUpPr fitToPage="1"/>
  </sheetPr>
  <dimension ref="A1:P73"/>
  <sheetViews>
    <sheetView showGridLines="0" zoomScaleNormal="100" workbookViewId="0">
      <selection activeCell="A4" sqref="A4:K4"/>
    </sheetView>
  </sheetViews>
  <sheetFormatPr baseColWidth="10" defaultRowHeight="14.25"/>
  <cols>
    <col min="1" max="1" width="1.5" customWidth="1"/>
    <col min="2" max="2" width="3.75" customWidth="1"/>
    <col min="3" max="3" width="7.625" customWidth="1"/>
    <col min="4" max="4" width="7.375" customWidth="1"/>
    <col min="6" max="6" width="15.5" customWidth="1"/>
    <col min="7" max="8" width="9.375" customWidth="1"/>
    <col min="9" max="10" width="15.625" customWidth="1"/>
    <col min="11" max="11" width="1.25" customWidth="1"/>
    <col min="12" max="12" width="41.625" customWidth="1"/>
    <col min="13" max="13" width="3.625" customWidth="1"/>
    <col min="14" max="14" width="14.125" customWidth="1"/>
  </cols>
  <sheetData>
    <row r="1" spans="1:14" ht="15" customHeight="1">
      <c r="A1" s="1356" t="str">
        <f>'Allgemeine Angaben'!A1:N1</f>
        <v>Aufforderung zum Abschluss einer Pflegesatzvereinbarung gemäß §§ 84, 85 SGB XI</v>
      </c>
      <c r="B1" s="1357"/>
      <c r="C1" s="1357"/>
      <c r="D1" s="1357"/>
      <c r="E1" s="1357"/>
      <c r="F1" s="1357"/>
      <c r="G1" s="1357"/>
      <c r="H1" s="1357"/>
      <c r="I1" s="1357"/>
      <c r="J1" s="1488"/>
      <c r="K1" s="1489"/>
      <c r="L1" s="790"/>
    </row>
    <row r="2" spans="1:14" ht="15" customHeight="1">
      <c r="A2" s="1359" t="s">
        <v>40</v>
      </c>
      <c r="B2" s="1360"/>
      <c r="C2" s="1360"/>
      <c r="D2" s="1360"/>
      <c r="E2" s="1360"/>
      <c r="F2" s="1360"/>
      <c r="G2" s="1360"/>
      <c r="H2" s="1360"/>
      <c r="I2" s="1360"/>
      <c r="J2" s="1490"/>
      <c r="K2" s="1491"/>
      <c r="L2" s="470"/>
    </row>
    <row r="3" spans="1:14" ht="15" customHeight="1">
      <c r="A3" s="1377" t="str">
        <f>'Allgemeine Angaben'!A3:N3</f>
        <v/>
      </c>
      <c r="B3" s="1378"/>
      <c r="C3" s="1378"/>
      <c r="D3" s="1378"/>
      <c r="E3" s="1378"/>
      <c r="F3" s="1378"/>
      <c r="G3" s="1378"/>
      <c r="H3" s="1378"/>
      <c r="I3" s="1378"/>
      <c r="J3" s="1490"/>
      <c r="K3" s="1491"/>
      <c r="L3" s="806"/>
    </row>
    <row r="4" spans="1:14" ht="15" customHeight="1">
      <c r="A4" s="1380" t="str">
        <f>'Allgemeine Angaben'!A4:N4</f>
        <v/>
      </c>
      <c r="B4" s="1381"/>
      <c r="C4" s="1381"/>
      <c r="D4" s="1381"/>
      <c r="E4" s="1381"/>
      <c r="F4" s="1381"/>
      <c r="G4" s="1381"/>
      <c r="H4" s="1381"/>
      <c r="I4" s="1381"/>
      <c r="J4" s="1492"/>
      <c r="K4" s="1493"/>
      <c r="L4" s="823"/>
      <c r="N4" s="470"/>
    </row>
    <row r="5" spans="1:14" s="1" customFormat="1" ht="13.5" customHeight="1">
      <c r="A5" s="19"/>
      <c r="B5" s="21"/>
      <c r="C5" s="21"/>
      <c r="D5" s="21"/>
      <c r="E5" s="21"/>
      <c r="F5" s="21"/>
      <c r="G5" s="21"/>
      <c r="H5" s="107"/>
      <c r="I5" s="21"/>
      <c r="J5" s="21"/>
      <c r="K5" s="108"/>
      <c r="M5"/>
    </row>
    <row r="6" spans="1:14" s="1" customFormat="1" ht="36" customHeight="1">
      <c r="A6" s="19"/>
      <c r="B6" s="21"/>
      <c r="C6" s="21"/>
      <c r="D6" s="21"/>
      <c r="E6" s="109"/>
      <c r="F6" s="109"/>
      <c r="G6" s="110" t="s">
        <v>41</v>
      </c>
      <c r="H6" s="306" t="s">
        <v>41</v>
      </c>
      <c r="I6" s="822" t="s">
        <v>510</v>
      </c>
      <c r="J6" s="400" t="s">
        <v>246</v>
      </c>
      <c r="K6" s="108"/>
      <c r="L6" s="56"/>
      <c r="M6"/>
    </row>
    <row r="7" spans="1:14" s="1" customFormat="1" ht="35.25" customHeight="1">
      <c r="A7" s="19"/>
      <c r="B7" s="21"/>
      <c r="C7" s="21"/>
      <c r="D7" s="21"/>
      <c r="E7" s="21"/>
      <c r="F7" s="21"/>
      <c r="G7" s="111" t="s">
        <v>42</v>
      </c>
      <c r="H7" s="109" t="s">
        <v>42</v>
      </c>
      <c r="I7" s="827" t="s">
        <v>512</v>
      </c>
      <c r="J7" s="828" t="s">
        <v>511</v>
      </c>
      <c r="K7" s="108"/>
      <c r="M7"/>
    </row>
    <row r="8" spans="1:14" s="1" customFormat="1" ht="14.1" customHeight="1">
      <c r="A8" s="19"/>
      <c r="B8" s="21"/>
      <c r="C8" s="21"/>
      <c r="D8" s="21"/>
      <c r="E8" s="21"/>
      <c r="F8" s="112"/>
      <c r="G8" s="113" t="str">
        <f>IF(Belegung!D16&gt;0,Belegung!D16,"")</f>
        <v/>
      </c>
      <c r="H8" s="306"/>
      <c r="I8" s="382" t="s">
        <v>43</v>
      </c>
      <c r="J8" s="824"/>
      <c r="K8" s="108"/>
      <c r="L8" s="825"/>
      <c r="M8"/>
    </row>
    <row r="9" spans="1:14" s="1" customFormat="1" ht="13.5" customHeight="1">
      <c r="A9" s="19"/>
      <c r="B9" s="21"/>
      <c r="C9" s="21"/>
      <c r="D9" s="21"/>
      <c r="E9" s="21"/>
      <c r="F9" s="109"/>
      <c r="G9" s="114" t="s">
        <v>44</v>
      </c>
      <c r="H9" s="305" t="s">
        <v>38</v>
      </c>
      <c r="I9" s="114" t="s">
        <v>38</v>
      </c>
      <c r="J9" s="401" t="s">
        <v>38</v>
      </c>
      <c r="K9" s="108"/>
      <c r="M9"/>
    </row>
    <row r="10" spans="1:14" s="1" customFormat="1" ht="14.1" customHeight="1">
      <c r="A10" s="19"/>
      <c r="B10" s="20" t="s">
        <v>45</v>
      </c>
      <c r="C10" s="20" t="s">
        <v>214</v>
      </c>
      <c r="D10" s="115"/>
      <c r="E10" s="21"/>
      <c r="F10" s="109"/>
      <c r="G10" s="21"/>
      <c r="H10" s="21"/>
      <c r="I10" s="21"/>
      <c r="J10" s="614"/>
      <c r="K10" s="108"/>
      <c r="M10"/>
    </row>
    <row r="11" spans="1:14" s="1" customFormat="1" ht="12.75" customHeight="1">
      <c r="A11" s="19"/>
      <c r="B11" s="20"/>
      <c r="C11" s="21" t="s">
        <v>46</v>
      </c>
      <c r="D11" s="21"/>
      <c r="E11" s="21"/>
      <c r="F11" s="21"/>
      <c r="G11" s="393"/>
      <c r="H11" s="393"/>
      <c r="I11" s="881">
        <f>Personalkostenaufstellung!Y49</f>
        <v>0</v>
      </c>
      <c r="J11" s="615"/>
      <c r="K11" s="108"/>
      <c r="L11" s="806"/>
      <c r="M11"/>
    </row>
    <row r="12" spans="1:14" s="1" customFormat="1" ht="12.75" customHeight="1">
      <c r="A12" s="19"/>
      <c r="B12" s="20"/>
      <c r="C12" s="21"/>
      <c r="D12" s="21" t="s">
        <v>47</v>
      </c>
      <c r="E12" s="21"/>
      <c r="F12" s="109"/>
      <c r="G12" s="390"/>
      <c r="H12" s="390"/>
      <c r="I12" s="391"/>
      <c r="J12" s="615"/>
      <c r="K12" s="108"/>
      <c r="M12"/>
    </row>
    <row r="13" spans="1:14" s="1" customFormat="1" ht="12.75" customHeight="1">
      <c r="A13" s="19"/>
      <c r="B13" s="20"/>
      <c r="C13" s="21"/>
      <c r="D13" s="21" t="s">
        <v>46</v>
      </c>
      <c r="E13" s="21"/>
      <c r="F13" s="21"/>
      <c r="G13" s="390"/>
      <c r="H13" s="390"/>
      <c r="I13" s="391"/>
      <c r="J13" s="615"/>
      <c r="K13" s="108"/>
      <c r="M13" s="287"/>
    </row>
    <row r="14" spans="1:14" s="1" customFormat="1" ht="12.75" customHeight="1">
      <c r="A14" s="19"/>
      <c r="B14" s="20"/>
      <c r="C14" s="21" t="s">
        <v>48</v>
      </c>
      <c r="D14" s="21"/>
      <c r="E14" s="21"/>
      <c r="F14" s="21"/>
      <c r="G14" s="390"/>
      <c r="H14" s="390"/>
      <c r="I14" s="881">
        <f>Personalkostenaufstellung!Y81</f>
        <v>0</v>
      </c>
      <c r="J14" s="615"/>
      <c r="K14" s="108"/>
      <c r="L14" s="56"/>
      <c r="M14"/>
    </row>
    <row r="15" spans="1:14" s="1" customFormat="1" ht="12.75" customHeight="1">
      <c r="A15" s="19"/>
      <c r="B15" s="20"/>
      <c r="C15" s="21"/>
      <c r="D15" s="21"/>
      <c r="E15" s="21"/>
      <c r="F15" s="21"/>
      <c r="G15" s="939"/>
      <c r="H15" s="939"/>
      <c r="I15" s="939"/>
      <c r="J15" s="852" t="str">
        <f>IF(AND('Allgemeine Angaben'!F7&lt;&gt;"4.",I15&gt;0),"Eintragung nur bei Einrichtungen der 4. Generation!","")</f>
        <v/>
      </c>
      <c r="K15" s="108"/>
      <c r="L15" s="56"/>
      <c r="M15" s="471"/>
    </row>
    <row r="16" spans="1:14" s="1" customFormat="1" ht="8.25" customHeight="1" thickBot="1">
      <c r="A16" s="19"/>
      <c r="B16" s="20"/>
      <c r="C16" s="21"/>
      <c r="D16" s="21"/>
      <c r="E16" s="21"/>
      <c r="F16" s="21"/>
      <c r="G16" s="397"/>
      <c r="H16" s="397"/>
      <c r="I16" s="391"/>
      <c r="J16" s="616"/>
      <c r="K16" s="108"/>
    </row>
    <row r="17" spans="1:16" s="1" customFormat="1" ht="14.1" customHeight="1" thickBot="1">
      <c r="A17" s="19"/>
      <c r="B17" s="20"/>
      <c r="C17" s="20"/>
      <c r="D17" s="116" t="s">
        <v>215</v>
      </c>
      <c r="E17" s="117"/>
      <c r="F17" s="117"/>
      <c r="G17" s="394">
        <f>SUM(G12:G13,G14:G15)</f>
        <v>0</v>
      </c>
      <c r="H17" s="902">
        <f>SUM(H12:H13,H14:H15)</f>
        <v>0</v>
      </c>
      <c r="I17" s="413" t="str">
        <f>IF(H17=0,"",(((H14*I14)+((H13+H12)*I11))+(H15*I15))/H17)</f>
        <v/>
      </c>
      <c r="J17" s="412" t="str">
        <f>IFERROR((H17*I17)*(1+pnk+I57)*(1+risiko),"")</f>
        <v/>
      </c>
      <c r="K17" s="108"/>
      <c r="L17" s="56"/>
      <c r="N17" s="472"/>
      <c r="O17" s="473"/>
      <c r="P17" s="472"/>
    </row>
    <row r="18" spans="1:16" s="1" customFormat="1" ht="6" customHeight="1">
      <c r="A18" s="19"/>
      <c r="B18" s="20"/>
      <c r="C18" s="21"/>
      <c r="D18" s="21"/>
      <c r="E18" s="21"/>
      <c r="F18" s="21"/>
      <c r="G18" s="395"/>
      <c r="H18" s="395"/>
      <c r="I18" s="391"/>
      <c r="J18" s="616"/>
      <c r="K18" s="108"/>
      <c r="N18" s="472"/>
      <c r="O18" s="473"/>
      <c r="P18" s="472"/>
    </row>
    <row r="19" spans="1:16" s="1" customFormat="1" ht="12.75">
      <c r="A19" s="19"/>
      <c r="B19" s="20"/>
      <c r="D19" s="20"/>
      <c r="E19" s="21"/>
      <c r="F19" s="20" t="s">
        <v>49</v>
      </c>
      <c r="G19" s="396" t="str">
        <f>IF(G17=0,"",SUM(G12,G13:G13)/G17)</f>
        <v/>
      </c>
      <c r="H19" s="396" t="str">
        <f>IF(H17=0,"",SUM(H12,H13:H13)/H17)</f>
        <v/>
      </c>
      <c r="I19" s="393"/>
      <c r="J19" s="616"/>
      <c r="K19" s="108"/>
      <c r="L19" s="474"/>
      <c r="N19" s="472"/>
      <c r="O19" s="473"/>
      <c r="P19" s="472"/>
    </row>
    <row r="20" spans="1:16" s="1" customFormat="1" ht="12.75" customHeight="1">
      <c r="A20" s="19"/>
      <c r="B20" s="20"/>
      <c r="C20" s="21"/>
      <c r="D20" s="21"/>
      <c r="E20" s="21"/>
      <c r="F20" s="21"/>
      <c r="G20" s="393"/>
      <c r="H20" s="1114" t="str">
        <f>IF(H17&lt;&gt;Personalkostenaufstellung!I84,"VK-Prognose entspricht nicht dem VK-Umfang in der Mappe Personalkostenaufstellung","")</f>
        <v/>
      </c>
      <c r="I20" s="391"/>
      <c r="J20" s="616"/>
      <c r="K20" s="108"/>
      <c r="N20" s="472"/>
      <c r="O20" s="473"/>
      <c r="P20" s="472"/>
    </row>
    <row r="21" spans="1:16" s="1" customFormat="1" ht="14.1" customHeight="1">
      <c r="A21" s="19"/>
      <c r="B21" s="20" t="s">
        <v>50</v>
      </c>
      <c r="C21" s="20" t="s">
        <v>216</v>
      </c>
      <c r="D21" s="21"/>
      <c r="E21" s="21"/>
      <c r="F21" s="21"/>
      <c r="G21" s="393"/>
      <c r="H21" s="393"/>
      <c r="I21" s="391"/>
      <c r="J21" s="616"/>
      <c r="K21" s="108"/>
      <c r="N21" s="472"/>
      <c r="O21" s="473"/>
      <c r="P21" s="472"/>
    </row>
    <row r="22" spans="1:16" s="1" customFormat="1" ht="12.75" customHeight="1">
      <c r="A22" s="19"/>
      <c r="B22" s="20"/>
      <c r="C22" s="21" t="s">
        <v>248</v>
      </c>
      <c r="E22" s="21"/>
      <c r="F22" s="21"/>
      <c r="G22" s="390"/>
      <c r="H22" s="390"/>
      <c r="I22" s="391"/>
      <c r="J22" s="616"/>
      <c r="K22" s="108"/>
      <c r="L22" s="56"/>
      <c r="N22" s="472"/>
      <c r="O22" s="473"/>
      <c r="P22" s="472"/>
    </row>
    <row r="23" spans="1:16" s="1" customFormat="1" ht="12.75" customHeight="1">
      <c r="A23" s="19"/>
      <c r="B23" s="20"/>
      <c r="C23" s="21" t="s">
        <v>217</v>
      </c>
      <c r="E23" s="21"/>
      <c r="F23" s="21"/>
      <c r="G23" s="390"/>
      <c r="H23" s="390"/>
      <c r="I23" s="391"/>
      <c r="J23" s="616"/>
      <c r="K23" s="108"/>
      <c r="N23" s="472"/>
      <c r="O23" s="473"/>
      <c r="P23" s="472"/>
    </row>
    <row r="24" spans="1:16" s="1" customFormat="1" ht="12.75" customHeight="1">
      <c r="A24" s="19"/>
      <c r="B24" s="20"/>
      <c r="C24" s="21"/>
      <c r="E24" s="21"/>
      <c r="F24" s="21"/>
      <c r="G24" s="939"/>
      <c r="H24" s="939"/>
      <c r="I24" s="849"/>
      <c r="J24" s="616"/>
      <c r="K24" s="108"/>
      <c r="L24" s="56"/>
      <c r="N24" s="472"/>
      <c r="O24" s="473"/>
      <c r="P24" s="472"/>
    </row>
    <row r="25" spans="1:16" s="1" customFormat="1" ht="8.25" customHeight="1" thickBot="1">
      <c r="A25" s="19"/>
      <c r="B25" s="20"/>
      <c r="C25" s="21"/>
      <c r="D25" s="21"/>
      <c r="E25" s="21"/>
      <c r="F25" s="21"/>
      <c r="G25" s="397"/>
      <c r="H25" s="397"/>
      <c r="I25" s="391"/>
      <c r="J25" s="616"/>
      <c r="K25" s="108"/>
      <c r="M25" s="475"/>
      <c r="N25" s="472"/>
      <c r="O25" s="473"/>
      <c r="P25" s="472"/>
    </row>
    <row r="26" spans="1:16" s="1" customFormat="1" ht="14.1" customHeight="1" thickBot="1">
      <c r="A26" s="19"/>
      <c r="B26" s="20"/>
      <c r="C26" s="21"/>
      <c r="D26" s="116" t="s">
        <v>277</v>
      </c>
      <c r="E26" s="117"/>
      <c r="F26" s="117"/>
      <c r="G26" s="624">
        <f>SUM(G22:G24)</f>
        <v>0</v>
      </c>
      <c r="H26" s="624">
        <f>SUM(H22:H24)</f>
        <v>0</v>
      </c>
      <c r="I26" s="882">
        <f>Personalkostenaufstellung!Y92</f>
        <v>0</v>
      </c>
      <c r="J26" s="412" t="str">
        <f>IFERROR((H26*I26)*(1+pnk+I57)*(1+risiko),"")</f>
        <v/>
      </c>
      <c r="K26" s="108"/>
      <c r="L26" s="476"/>
      <c r="N26" s="472"/>
      <c r="O26" s="473"/>
      <c r="P26" s="472"/>
    </row>
    <row r="27" spans="1:16" s="1" customFormat="1" ht="12.75">
      <c r="A27" s="19"/>
      <c r="B27" s="20"/>
      <c r="C27" s="21"/>
      <c r="D27" s="21"/>
      <c r="E27" s="21"/>
      <c r="F27" s="21"/>
      <c r="G27" s="393"/>
      <c r="H27" s="1115" t="str">
        <f>IF(H26&lt;&gt;Personalkostenaufstellung!I92,"VK-Prognose entspricht nicht dem VK-Umfang in der Mappe Personalkostenaufstellung","")</f>
        <v/>
      </c>
      <c r="I27" s="393"/>
      <c r="J27" s="615"/>
      <c r="K27" s="108"/>
      <c r="N27" s="472"/>
      <c r="O27" s="473"/>
      <c r="P27" s="472"/>
    </row>
    <row r="28" spans="1:16" s="1" customFormat="1" ht="14.1" customHeight="1" thickBot="1">
      <c r="A28" s="19"/>
      <c r="B28" s="20" t="s">
        <v>51</v>
      </c>
      <c r="C28" s="20" t="s">
        <v>62</v>
      </c>
      <c r="D28" s="21"/>
      <c r="E28" s="21"/>
      <c r="F28" s="21"/>
      <c r="G28" s="392"/>
      <c r="H28" s="392"/>
      <c r="I28" s="392"/>
      <c r="J28" s="617"/>
      <c r="K28" s="108"/>
      <c r="M28"/>
      <c r="N28" s="472"/>
      <c r="O28" s="473"/>
      <c r="P28" s="472"/>
    </row>
    <row r="29" spans="1:16" s="1" customFormat="1" ht="14.1" customHeight="1" thickBot="1">
      <c r="A29" s="19"/>
      <c r="B29" s="20"/>
      <c r="C29" s="20" t="s">
        <v>63</v>
      </c>
      <c r="D29" s="21"/>
      <c r="E29" s="21"/>
      <c r="F29" s="21"/>
      <c r="G29" s="893"/>
      <c r="H29" s="894"/>
      <c r="I29" s="882">
        <f>Personalkostenaufstellung!Y105</f>
        <v>0</v>
      </c>
      <c r="J29" s="412" t="str">
        <f>IFERROR((H29*I29)*(1+pnk+I57)*(1+risiko),"")</f>
        <v/>
      </c>
      <c r="K29" s="108"/>
      <c r="N29" s="472"/>
      <c r="O29" s="473"/>
      <c r="P29" s="472"/>
    </row>
    <row r="30" spans="1:16" s="1" customFormat="1" ht="12.75" customHeight="1">
      <c r="A30" s="19"/>
      <c r="B30" s="21"/>
      <c r="C30" s="21"/>
      <c r="D30" s="21"/>
      <c r="E30" s="21"/>
      <c r="F30" s="21"/>
      <c r="G30" s="393"/>
      <c r="H30" s="1116" t="str">
        <f>IF(H29=0,"",IF(H29&lt;&gt;Forderung!L23,"entspricht nicht 1:20!",""))</f>
        <v/>
      </c>
      <c r="I30" s="391"/>
      <c r="J30" s="616"/>
      <c r="K30" s="108"/>
      <c r="N30" s="472"/>
      <c r="O30" s="473"/>
      <c r="P30" s="472"/>
    </row>
    <row r="31" spans="1:16" s="1" customFormat="1" ht="14.1" customHeight="1">
      <c r="A31" s="19"/>
      <c r="B31" s="20" t="s">
        <v>55</v>
      </c>
      <c r="C31" s="20" t="s">
        <v>52</v>
      </c>
      <c r="D31" s="21"/>
      <c r="E31" s="21"/>
      <c r="F31" s="21"/>
      <c r="G31" s="393"/>
      <c r="H31" s="1115" t="str">
        <f>IF(H29&lt;&gt;Personalkostenaufstellung!I105,"VK-Prognose entspricht nicht dem VK-Umfang in der Mappe Personalkostenaufstellung","")</f>
        <v/>
      </c>
      <c r="I31" s="391"/>
      <c r="J31" s="616"/>
      <c r="K31" s="108"/>
      <c r="N31" s="472"/>
      <c r="O31" s="473"/>
      <c r="P31" s="472"/>
    </row>
    <row r="32" spans="1:16" s="1" customFormat="1" ht="12.75" customHeight="1">
      <c r="A32" s="19"/>
      <c r="B32" s="20"/>
      <c r="C32" s="21" t="s">
        <v>204</v>
      </c>
      <c r="E32" s="21"/>
      <c r="F32" s="21"/>
      <c r="G32" s="390"/>
      <c r="H32" s="390"/>
      <c r="I32" s="391"/>
      <c r="J32" s="616"/>
      <c r="K32" s="108"/>
      <c r="N32" s="472"/>
    </row>
    <row r="33" spans="1:16" s="1" customFormat="1" ht="12.75" customHeight="1" thickBot="1">
      <c r="A33" s="19"/>
      <c r="B33" s="20"/>
      <c r="C33" s="21" t="s">
        <v>53</v>
      </c>
      <c r="E33" s="21"/>
      <c r="F33" s="21"/>
      <c r="G33" s="880"/>
      <c r="H33" s="880"/>
      <c r="I33" s="391"/>
      <c r="J33" s="616"/>
      <c r="K33" s="108"/>
      <c r="L33" s="56"/>
    </row>
    <row r="34" spans="1:16" s="1" customFormat="1" ht="14.1" customHeight="1" thickBot="1">
      <c r="A34" s="19"/>
      <c r="B34" s="20"/>
      <c r="C34" s="20"/>
      <c r="D34" s="116" t="s">
        <v>54</v>
      </c>
      <c r="E34" s="117"/>
      <c r="F34" s="117"/>
      <c r="G34" s="625">
        <f>SUM(G32:G33)</f>
        <v>0</v>
      </c>
      <c r="H34" s="625">
        <f>SUM(H32:H33)</f>
        <v>0</v>
      </c>
      <c r="I34" s="882">
        <f>Personalkostenaufstellung!Y113</f>
        <v>0</v>
      </c>
      <c r="J34" s="412" t="str">
        <f>IFERROR((H34*I34)*(1+pnk+I57)*(1+risiko),"")</f>
        <v/>
      </c>
      <c r="K34" s="108"/>
    </row>
    <row r="35" spans="1:16" s="1" customFormat="1" ht="12.75" customHeight="1">
      <c r="A35" s="19"/>
      <c r="B35" s="20"/>
      <c r="C35" s="21"/>
      <c r="D35" s="21"/>
      <c r="E35" s="21"/>
      <c r="F35" s="21"/>
      <c r="G35" s="393"/>
      <c r="H35" s="1115" t="str">
        <f>IF(H34&lt;&gt;Personalkostenaufstellung!I113,"VK-Prognose entspricht nicht dem VK-Umfang in der Mappe Personalkostenaufstellung","")</f>
        <v/>
      </c>
      <c r="I35" s="391"/>
      <c r="J35" s="616"/>
      <c r="K35" s="108"/>
    </row>
    <row r="36" spans="1:16" s="1" customFormat="1" ht="14.1" customHeight="1">
      <c r="A36" s="19"/>
      <c r="B36" s="20" t="s">
        <v>56</v>
      </c>
      <c r="C36" s="20" t="s">
        <v>135</v>
      </c>
      <c r="D36" s="21"/>
      <c r="E36" s="21"/>
      <c r="F36" s="21"/>
      <c r="G36" s="393"/>
      <c r="H36" s="393"/>
      <c r="I36" s="391"/>
      <c r="J36" s="616"/>
      <c r="K36" s="108"/>
    </row>
    <row r="37" spans="1:16" s="1" customFormat="1" ht="12.75">
      <c r="A37" s="19"/>
      <c r="B37" s="20"/>
      <c r="C37" s="21" t="s">
        <v>249</v>
      </c>
      <c r="E37" s="21"/>
      <c r="F37" s="21"/>
      <c r="G37" s="390"/>
      <c r="H37" s="390"/>
      <c r="I37" s="391"/>
      <c r="J37" s="616"/>
      <c r="K37" s="108"/>
    </row>
    <row r="38" spans="1:16" s="1" customFormat="1" ht="13.5" thickBot="1">
      <c r="A38" s="19"/>
      <c r="B38" s="20"/>
      <c r="C38" s="21"/>
      <c r="D38" s="21"/>
      <c r="E38" s="21"/>
      <c r="F38" s="21"/>
      <c r="G38" s="939"/>
      <c r="H38" s="939"/>
      <c r="I38" s="391"/>
      <c r="J38" s="616"/>
      <c r="K38" s="108"/>
      <c r="L38" s="56"/>
      <c r="N38" s="477"/>
    </row>
    <row r="39" spans="1:16" s="1" customFormat="1" ht="13.5" thickBot="1">
      <c r="A39" s="19"/>
      <c r="B39" s="20"/>
      <c r="C39" s="21"/>
      <c r="D39" s="116" t="s">
        <v>250</v>
      </c>
      <c r="E39" s="117"/>
      <c r="F39" s="117"/>
      <c r="G39" s="625">
        <f>SUM(G37:G38)</f>
        <v>0</v>
      </c>
      <c r="H39" s="625">
        <f>SUM(H37:H38)</f>
        <v>0</v>
      </c>
      <c r="I39" s="882">
        <f>Personalkostenaufstellung!Y125</f>
        <v>0</v>
      </c>
      <c r="J39" s="412" t="str">
        <f>IFERROR((H39*I39)*(1+pnk+I57)*(1+risiko),"")</f>
        <v/>
      </c>
      <c r="K39" s="108"/>
      <c r="L39" s="915"/>
    </row>
    <row r="40" spans="1:16" s="1" customFormat="1" ht="12.75" customHeight="1" thickBot="1">
      <c r="A40" s="19"/>
      <c r="B40" s="20"/>
      <c r="C40" s="21"/>
      <c r="D40" s="21"/>
      <c r="E40" s="21"/>
      <c r="F40" s="21"/>
      <c r="G40" s="392"/>
      <c r="H40" s="1115" t="str">
        <f>IF(H39&lt;&gt;Personalkostenaufstellung!I125,"VK-Prognose entspricht nicht dem VK-Umfang in der Mappe Personalkostenaufstellung","")</f>
        <v/>
      </c>
      <c r="I40" s="392"/>
      <c r="J40" s="617"/>
      <c r="K40" s="108"/>
    </row>
    <row r="41" spans="1:16" s="1" customFormat="1" ht="13.5" thickBot="1">
      <c r="A41" s="19"/>
      <c r="B41" s="20" t="s">
        <v>58</v>
      </c>
      <c r="C41" s="20" t="s">
        <v>57</v>
      </c>
      <c r="D41" s="21"/>
      <c r="E41" s="21"/>
      <c r="F41" s="21"/>
      <c r="G41" s="893"/>
      <c r="H41" s="894"/>
      <c r="I41" s="882">
        <f>Personalkostenaufstellung!Y137</f>
        <v>0</v>
      </c>
      <c r="J41" s="412" t="str">
        <f>IFERROR((H41*I41)*(1+pnk+I57)*(1+risiko),"")</f>
        <v/>
      </c>
      <c r="K41" s="108"/>
      <c r="N41" s="477"/>
    </row>
    <row r="42" spans="1:16" s="1" customFormat="1" ht="12.75" customHeight="1" thickBot="1">
      <c r="A42" s="19"/>
      <c r="B42" s="20"/>
      <c r="C42" s="21"/>
      <c r="D42" s="21"/>
      <c r="E42" s="21"/>
      <c r="F42" s="21"/>
      <c r="G42" s="393"/>
      <c r="H42" s="1115" t="str">
        <f>IF(H41&lt;&gt;Personalkostenaufstellung!I137,"VK-Prognose entspricht nicht dem VK-Umfang in der Mappe Personalkostenaufstellung","")</f>
        <v/>
      </c>
      <c r="I42" s="391"/>
      <c r="J42" s="616"/>
      <c r="K42" s="108"/>
    </row>
    <row r="43" spans="1:16" s="1" customFormat="1" ht="13.5" thickBot="1">
      <c r="A43" s="19"/>
      <c r="B43" s="20" t="s">
        <v>60</v>
      </c>
      <c r="C43" s="20" t="s">
        <v>59</v>
      </c>
      <c r="D43" s="21"/>
      <c r="E43" s="21"/>
      <c r="F43" s="21"/>
      <c r="G43" s="893"/>
      <c r="H43" s="894"/>
      <c r="I43" s="882">
        <f>Personalkostenaufstellung!Y145</f>
        <v>0</v>
      </c>
      <c r="J43" s="412" t="str">
        <f>IFERROR((H43*I43)*(1+pnk+I57)*(1+risiko),"")</f>
        <v/>
      </c>
      <c r="K43" s="108"/>
      <c r="N43" s="477"/>
    </row>
    <row r="44" spans="1:16" s="1" customFormat="1" ht="13.5" thickBot="1">
      <c r="A44" s="19"/>
      <c r="B44" s="20"/>
      <c r="C44" s="20"/>
      <c r="D44" s="21"/>
      <c r="E44" s="21"/>
      <c r="F44" s="21"/>
      <c r="G44" s="21"/>
      <c r="H44" s="1115" t="str">
        <f>IF(H43&lt;&gt;Personalkostenaufstellung!I145,"VK-Prognose entspricht nicht dem VK-Umfang in der Mappe Personalkostenaufstellung","")</f>
        <v/>
      </c>
      <c r="I44" s="21"/>
      <c r="J44" s="616"/>
      <c r="K44" s="108"/>
    </row>
    <row r="45" spans="1:16" s="1" customFormat="1" ht="13.5" thickBot="1">
      <c r="A45" s="19"/>
      <c r="B45" s="20" t="s">
        <v>61</v>
      </c>
      <c r="C45" s="20" t="s">
        <v>278</v>
      </c>
      <c r="D45" s="21"/>
      <c r="E45" s="21"/>
      <c r="F45" s="21"/>
      <c r="G45" s="893"/>
      <c r="H45" s="894"/>
      <c r="I45" s="882">
        <f>Personalkostenaufstellung!Y153</f>
        <v>0</v>
      </c>
      <c r="J45" s="412" t="str">
        <f>IF('Allgemeine Angaben'!D7&lt;&gt;"tst","",IFERROR((H45*I45)*(1+pnk+I57)*(1+risiko),""))</f>
        <v/>
      </c>
      <c r="K45" s="108"/>
      <c r="L45" s="21"/>
      <c r="M45" s="21"/>
      <c r="N45" s="21"/>
      <c r="O45" s="21"/>
      <c r="P45" s="21"/>
    </row>
    <row r="46" spans="1:16" s="1" customFormat="1" ht="12.75">
      <c r="A46" s="19"/>
      <c r="B46" s="20"/>
      <c r="C46" s="20"/>
      <c r="D46" s="21"/>
      <c r="E46" s="21"/>
      <c r="F46" s="21"/>
      <c r="G46" s="393"/>
      <c r="H46" s="1115" t="str">
        <f>IF(H45&lt;&gt;Personalkostenaufstellung!I153,"VK-Prognose entspricht nicht dem VK-Umfang in der Mappe Personalkostenaufstellung","")</f>
        <v/>
      </c>
      <c r="I46" s="393"/>
      <c r="J46" s="615"/>
      <c r="K46" s="108"/>
      <c r="L46" s="825"/>
    </row>
    <row r="47" spans="1:16" s="1" customFormat="1" ht="13.5" thickBot="1">
      <c r="A47" s="19"/>
      <c r="B47" s="20"/>
      <c r="C47" s="384" t="s">
        <v>256</v>
      </c>
      <c r="D47" s="385"/>
      <c r="E47" s="385"/>
      <c r="F47" s="385"/>
      <c r="G47" s="398"/>
      <c r="H47" s="398"/>
      <c r="I47" s="850" t="e">
        <f>H17*I17+H26*I26+H29*I29+H34*I34+H39*I39+H41*I41+H43*I43+H45*I45</f>
        <v>#VALUE!</v>
      </c>
      <c r="J47" s="618">
        <f>IFERROR(ROUND(SUM(J17,J26,J29,J34,J39,J41,J43,J45),2),"")</f>
        <v>0</v>
      </c>
      <c r="K47" s="108"/>
      <c r="L47" s="819"/>
    </row>
    <row r="48" spans="1:16" s="1" customFormat="1" ht="12.75" customHeight="1" thickTop="1">
      <c r="A48" s="19"/>
      <c r="B48" s="20"/>
      <c r="C48" s="20"/>
      <c r="D48" s="21"/>
      <c r="E48" s="21"/>
      <c r="F48" s="21"/>
      <c r="G48" s="21"/>
      <c r="H48" s="21"/>
      <c r="I48" s="21"/>
      <c r="J48" s="614"/>
      <c r="K48" s="108"/>
    </row>
    <row r="49" spans="1:13" s="1" customFormat="1" ht="12.75">
      <c r="A49" s="19"/>
      <c r="B49" s="20" t="s">
        <v>258</v>
      </c>
      <c r="C49" s="20" t="s">
        <v>218</v>
      </c>
      <c r="D49" s="20"/>
      <c r="E49" s="21"/>
      <c r="J49" s="619"/>
      <c r="K49" s="108"/>
      <c r="L49" s="56"/>
    </row>
    <row r="50" spans="1:13" s="1" customFormat="1" ht="12.75" customHeight="1">
      <c r="A50" s="19"/>
      <c r="B50" s="20"/>
      <c r="C50" s="21"/>
      <c r="D50" s="21" t="s">
        <v>251</v>
      </c>
      <c r="E50" s="21"/>
      <c r="F50" s="388"/>
      <c r="G50" s="389" t="s">
        <v>257</v>
      </c>
      <c r="H50" s="895"/>
      <c r="I50" s="399"/>
      <c r="J50" s="468"/>
      <c r="K50" s="108"/>
    </row>
    <row r="51" spans="1:13" s="1" customFormat="1" ht="12.75" customHeight="1">
      <c r="A51" s="19"/>
      <c r="B51" s="20"/>
      <c r="C51" s="21"/>
      <c r="D51" s="21" t="s">
        <v>252</v>
      </c>
      <c r="E51" s="21"/>
      <c r="F51" s="388"/>
      <c r="G51" s="389" t="s">
        <v>257</v>
      </c>
      <c r="H51" s="895"/>
      <c r="I51" s="399"/>
      <c r="J51" s="468"/>
      <c r="K51" s="108"/>
    </row>
    <row r="52" spans="1:13" s="1" customFormat="1" ht="12.75" customHeight="1">
      <c r="A52" s="19"/>
      <c r="B52" s="20"/>
      <c r="C52" s="21"/>
      <c r="D52" s="21" t="s">
        <v>253</v>
      </c>
      <c r="E52" s="21"/>
      <c r="F52" s="388"/>
      <c r="G52" s="389" t="s">
        <v>257</v>
      </c>
      <c r="H52" s="895"/>
      <c r="I52" s="399"/>
      <c r="J52" s="468"/>
      <c r="K52" s="108"/>
    </row>
    <row r="53" spans="1:13" s="1" customFormat="1" ht="12.75" customHeight="1">
      <c r="A53" s="19"/>
      <c r="B53" s="20"/>
      <c r="C53" s="21"/>
      <c r="D53" s="21" t="s">
        <v>254</v>
      </c>
      <c r="E53" s="21"/>
      <c r="F53" s="21"/>
      <c r="G53" s="791" t="s">
        <v>257</v>
      </c>
      <c r="H53" s="895"/>
      <c r="I53" s="399"/>
      <c r="J53" s="468"/>
      <c r="K53" s="108"/>
      <c r="L53" s="806"/>
    </row>
    <row r="54" spans="1:13" s="1" customFormat="1" ht="12.75" customHeight="1" thickBot="1">
      <c r="A54" s="19"/>
      <c r="B54" s="21"/>
      <c r="C54" s="21"/>
      <c r="D54" s="21"/>
      <c r="E54" s="21"/>
      <c r="F54" s="459"/>
      <c r="G54" s="811"/>
      <c r="H54" s="812"/>
      <c r="I54" s="399"/>
      <c r="J54" s="468"/>
      <c r="K54" s="108"/>
      <c r="L54" s="786"/>
    </row>
    <row r="55" spans="1:13" s="1" customFormat="1" ht="12.75" customHeight="1" thickBot="1">
      <c r="A55" s="19"/>
      <c r="B55" s="21"/>
      <c r="C55" s="21"/>
      <c r="D55" s="116" t="s">
        <v>255</v>
      </c>
      <c r="E55" s="117"/>
      <c r="F55" s="117"/>
      <c r="G55" s="21"/>
      <c r="H55" s="21"/>
      <c r="I55" s="411" t="str">
        <f>IFERROR(ROUND(J55/I47,4),"")</f>
        <v/>
      </c>
      <c r="J55" s="412">
        <f>SUM(H50:H53)</f>
        <v>0</v>
      </c>
      <c r="K55" s="108"/>
      <c r="L55" s="806"/>
    </row>
    <row r="56" spans="1:13" s="1" customFormat="1" ht="12.75" customHeight="1" thickBot="1">
      <c r="A56" s="19"/>
      <c r="B56" s="21"/>
      <c r="C56" s="21"/>
      <c r="D56" s="21"/>
      <c r="E56" s="21"/>
      <c r="F56" s="21"/>
      <c r="G56" s="21"/>
      <c r="H56" s="21"/>
      <c r="I56" s="399"/>
      <c r="J56" s="468"/>
      <c r="K56" s="108"/>
    </row>
    <row r="57" spans="1:13" s="1" customFormat="1" ht="12.75" customHeight="1" thickBot="1">
      <c r="A57" s="19"/>
      <c r="B57" s="20" t="s">
        <v>258</v>
      </c>
      <c r="C57" s="20" t="s">
        <v>526</v>
      </c>
      <c r="D57" s="21"/>
      <c r="E57" s="21"/>
      <c r="F57" s="21"/>
      <c r="G57" s="21"/>
      <c r="H57" s="21"/>
      <c r="I57" s="411" t="str">
        <f>IFERROR(J57/I47,"")</f>
        <v/>
      </c>
      <c r="J57" s="883"/>
      <c r="K57" s="108"/>
    </row>
    <row r="58" spans="1:13" s="1" customFormat="1" ht="12.75" customHeight="1" thickBot="1">
      <c r="A58" s="19"/>
      <c r="B58" s="21"/>
      <c r="C58" s="1117" t="str">
        <f>IF(J57&gt;0,"Bitte Forderung für steuerfreie Sachbezüge nach § 8 Abs. 2 EStG begründen.","")</f>
        <v/>
      </c>
      <c r="D58" s="21"/>
      <c r="E58" s="21"/>
      <c r="F58" s="21"/>
      <c r="G58" s="21"/>
      <c r="H58" s="21"/>
      <c r="I58" s="399"/>
      <c r="J58" s="468"/>
      <c r="K58" s="108"/>
    </row>
    <row r="59" spans="1:13" s="1" customFormat="1" ht="12.75" customHeight="1" thickBot="1">
      <c r="A59" s="19"/>
      <c r="B59" s="20" t="s">
        <v>258</v>
      </c>
      <c r="C59" s="20" t="s">
        <v>495</v>
      </c>
      <c r="D59" s="21"/>
      <c r="E59" s="21"/>
      <c r="F59" s="21"/>
      <c r="G59" s="386"/>
      <c r="H59" s="387" t="s">
        <v>435</v>
      </c>
      <c r="I59" s="603"/>
      <c r="J59" s="413" t="str">
        <f>IFERROR(I47*risiko,"")</f>
        <v/>
      </c>
      <c r="K59" s="108"/>
      <c r="L59" s="786"/>
      <c r="M59" s="478"/>
    </row>
    <row r="60" spans="1:13" s="1" customFormat="1" ht="12.75" customHeight="1">
      <c r="A60" s="19"/>
      <c r="B60" s="21"/>
      <c r="C60" s="21"/>
      <c r="D60" s="21"/>
      <c r="E60" s="21"/>
      <c r="F60" s="21"/>
      <c r="G60" s="21"/>
      <c r="H60" s="21"/>
      <c r="I60" s="851" t="str">
        <f>IF(risiko&gt;0.02,"Hinweis: Risiken über 2 % sind zu begründen und mit Nachweisen zu belegen","")</f>
        <v/>
      </c>
      <c r="J60" s="468"/>
      <c r="K60" s="108"/>
      <c r="L60" s="786"/>
    </row>
    <row r="61" spans="1:13" s="1" customFormat="1" ht="12.75" customHeight="1" thickBot="1">
      <c r="A61" s="19"/>
      <c r="B61" s="21"/>
      <c r="C61" s="21"/>
      <c r="D61" s="21"/>
      <c r="E61" s="21"/>
      <c r="F61" s="21"/>
      <c r="G61" s="552" t="s">
        <v>387</v>
      </c>
      <c r="H61" s="552" t="s">
        <v>387</v>
      </c>
      <c r="I61" s="820" t="s">
        <v>509</v>
      </c>
      <c r="J61" s="468"/>
      <c r="K61" s="108"/>
    </row>
    <row r="62" spans="1:13" s="1" customFormat="1" ht="15" thickBot="1">
      <c r="A62" s="19"/>
      <c r="B62" s="20" t="s">
        <v>270</v>
      </c>
      <c r="C62" s="20" t="s">
        <v>386</v>
      </c>
      <c r="D62" s="21"/>
      <c r="E62" s="21"/>
      <c r="F62" s="21"/>
      <c r="G62" s="118"/>
      <c r="H62" s="119"/>
      <c r="I62" s="1109">
        <f>Personalkostenaufstellung!W157</f>
        <v>0</v>
      </c>
      <c r="J62" s="468"/>
      <c r="K62" s="108"/>
      <c r="L62" s="821"/>
    </row>
    <row r="63" spans="1:13" s="11" customFormat="1" ht="5.25" customHeight="1" thickBot="1">
      <c r="A63" s="120"/>
      <c r="B63" s="16"/>
      <c r="C63" s="16"/>
      <c r="D63" s="105"/>
      <c r="E63" s="105"/>
      <c r="F63" s="105"/>
      <c r="G63" s="192"/>
      <c r="H63" s="192"/>
      <c r="I63" s="314"/>
      <c r="J63" s="468"/>
      <c r="K63" s="12"/>
    </row>
    <row r="64" spans="1:13" s="1" customFormat="1" ht="13.5" thickBot="1">
      <c r="A64" s="26"/>
      <c r="C64" s="315" t="s">
        <v>388</v>
      </c>
      <c r="G64" s="118"/>
      <c r="H64" s="119"/>
      <c r="I64" s="1109">
        <f>Personalkostenaufstellung!W158</f>
        <v>0</v>
      </c>
      <c r="J64" s="468"/>
      <c r="K64" s="108"/>
    </row>
    <row r="65" spans="1:13" s="1" customFormat="1" ht="12.75" customHeight="1" thickBot="1">
      <c r="A65" s="26"/>
      <c r="J65" s="619"/>
      <c r="K65" s="108"/>
      <c r="L65" s="121"/>
    </row>
    <row r="66" spans="1:13" s="1" customFormat="1" ht="13.5" thickBot="1">
      <c r="A66" s="120"/>
      <c r="B66" s="16" t="s">
        <v>272</v>
      </c>
      <c r="C66" s="16"/>
      <c r="D66" s="105"/>
      <c r="E66" s="105"/>
      <c r="F66" s="105"/>
      <c r="G66" s="940"/>
      <c r="H66" s="941"/>
      <c r="I66" s="942"/>
      <c r="J66" s="413" t="e">
        <f>I66*H66*(1+pnk)</f>
        <v>#VALUE!</v>
      </c>
      <c r="K66" s="108"/>
      <c r="L66" s="786"/>
    </row>
    <row r="67" spans="1:13" s="1" customFormat="1" ht="12.75">
      <c r="A67" s="122"/>
      <c r="B67" s="43"/>
      <c r="C67" s="43"/>
      <c r="D67" s="43"/>
      <c r="E67" s="43"/>
      <c r="F67" s="43"/>
      <c r="G67" s="43"/>
      <c r="H67" s="123"/>
      <c r="I67" s="43"/>
      <c r="J67" s="43"/>
      <c r="K67" s="1168"/>
      <c r="L67" s="786"/>
    </row>
    <row r="68" spans="1:13" s="1" customFormat="1" ht="12.75"/>
    <row r="69" spans="1:13" s="124" customFormat="1" ht="11.25">
      <c r="A69" s="124" t="s">
        <v>64</v>
      </c>
      <c r="B69" s="124" t="s">
        <v>65</v>
      </c>
    </row>
    <row r="70" spans="1:13" s="124" customFormat="1" ht="11.25">
      <c r="B70" s="124" t="s">
        <v>66</v>
      </c>
      <c r="L70" s="479"/>
      <c r="M70" s="479"/>
    </row>
    <row r="71" spans="1:13" s="124" customFormat="1" ht="8.1" customHeight="1"/>
    <row r="72" spans="1:13" s="124" customFormat="1" ht="8.1" customHeight="1" thickBot="1"/>
    <row r="73" spans="1:13" ht="15" thickBot="1">
      <c r="C73" s="1370" t="s">
        <v>259</v>
      </c>
      <c r="D73" s="1371"/>
      <c r="E73" s="1371"/>
      <c r="F73" s="1371"/>
      <c r="G73" s="1371"/>
      <c r="H73" s="1371"/>
      <c r="I73" s="1372"/>
      <c r="L73" s="825"/>
    </row>
  </sheetData>
  <sheetProtection algorithmName="SHA-512" hashValue="bdxgiKsI9pzhmFkYbhXFHclYnQpMNsdsuCUTaCoGsuaJujTStKu8w9mzgA/9I4LwblcBNCJwS4dZFy7yOkqSsA==" saltValue="pdTCSH/37wf5pOfl249MoA==" spinCount="100000" sheet="1" objects="1" scenarios="1"/>
  <customSheetViews>
    <customSheetView guid="{CDDBAA41-0D3E-44AF-A85A-332C81A5DAE4}" showGridLines="0" fitToPage="1">
      <pane ySplit="9" topLeftCell="A10" activePane="bottomLeft" state="frozen"/>
      <selection pane="bottomLeft" activeCell="I57" sqref="I57"/>
      <pageMargins left="0.70866141732283472" right="0.70866141732283472" top="0.78740157480314965" bottom="0.78740157480314965" header="0.31496062992125984" footer="0.31496062992125984"/>
      <pageSetup paperSize="9" scale="82" orientation="portrait"/>
      <headerFooter>
        <oddHeader>&amp;C&amp;9Seite 3</oddHeader>
        <oddFooter>&amp;C&amp;8Verhandlungsunterlagen SGB XI&amp;R&amp;8Version Kostenträger Stand: 29.11.2018</oddFooter>
      </headerFooter>
    </customSheetView>
  </customSheetViews>
  <mergeCells count="5">
    <mergeCell ref="C73:I73"/>
    <mergeCell ref="A1:K1"/>
    <mergeCell ref="A2:K2"/>
    <mergeCell ref="A3:K3"/>
    <mergeCell ref="A4:K4"/>
  </mergeCells>
  <conditionalFormatting sqref="G17">
    <cfRule type="expression" priority="33">
      <formula>$H$17=0</formula>
    </cfRule>
    <cfRule type="expression" dxfId="93" priority="34">
      <formula>$G$17=0</formula>
    </cfRule>
  </conditionalFormatting>
  <conditionalFormatting sqref="G26">
    <cfRule type="expression" dxfId="92" priority="31">
      <formula>$G$26=0</formula>
    </cfRule>
  </conditionalFormatting>
  <conditionalFormatting sqref="G34">
    <cfRule type="expression" dxfId="91" priority="29">
      <formula>$G$34=0</formula>
    </cfRule>
  </conditionalFormatting>
  <conditionalFormatting sqref="G39">
    <cfRule type="expression" dxfId="90" priority="27">
      <formula>$G$39=0</formula>
    </cfRule>
  </conditionalFormatting>
  <conditionalFormatting sqref="H17">
    <cfRule type="expression" dxfId="89" priority="32">
      <formula>$H$17=0</formula>
    </cfRule>
  </conditionalFormatting>
  <conditionalFormatting sqref="H26">
    <cfRule type="expression" dxfId="87" priority="30">
      <formula>$H$26=0</formula>
    </cfRule>
  </conditionalFormatting>
  <conditionalFormatting sqref="H34">
    <cfRule type="expression" dxfId="84" priority="28">
      <formula>$H$34=0</formula>
    </cfRule>
  </conditionalFormatting>
  <conditionalFormatting sqref="H39">
    <cfRule type="expression" dxfId="82" priority="26">
      <formula>$H$39=0</formula>
    </cfRule>
  </conditionalFormatting>
  <conditionalFormatting sqref="J47">
    <cfRule type="expression" dxfId="76" priority="25">
      <formula>$J$47=0</formula>
    </cfRule>
  </conditionalFormatting>
  <conditionalFormatting sqref="J55">
    <cfRule type="expression" dxfId="75" priority="24">
      <formula>$J$55=0</formula>
    </cfRule>
  </conditionalFormatting>
  <dataValidations count="3">
    <dataValidation allowBlank="1" showInputMessage="1" showErrorMessage="1" promptTitle="Eingabe" prompt="mit drei Nachkommastellen" sqref="G45:H45 G22:H23 G12:H14 G29:H29 G32:H33 G43:H43 G37:H37 G41:H41" xr:uid="{00000000-0002-0000-0500-000000000000}"/>
    <dataValidation type="whole" allowBlank="1" showInputMessage="1" showErrorMessage="1" promptTitle="Eingabe" prompt="ohne Nachkommastellen" sqref="G62:H62 G64:H64" xr:uid="{00000000-0002-0000-0500-000001000000}">
      <formula1>0</formula1>
      <formula2>20</formula2>
    </dataValidation>
    <dataValidation errorStyle="information" allowBlank="1" showInputMessage="1" showErrorMessage="1" errorTitle="Unternehmerrisiko" promptTitle="Unternehmerrisiko" prompt="siehe allgemeine Hinweise" sqref="I59" xr:uid="{00000000-0002-0000-0500-000002000000}"/>
  </dataValidations>
  <hyperlinks>
    <hyperlink ref="C73" location="'Anlage 1'!A1" display="Anlage 1" xr:uid="{00000000-0004-0000-0500-000000000000}"/>
    <hyperlink ref="C73:I73" location="Sachaufwendungen!A1" display="gehe weiter zu Sachaufwendungen" xr:uid="{00000000-0004-0000-0500-000001000000}"/>
  </hyperlinks>
  <pageMargins left="0.70866141732283472" right="0.70866141732283472" top="0.78740157480314965" bottom="0.78740157480314965" header="0.31496062992125984" footer="0.31496062992125984"/>
  <pageSetup paperSize="9" scale="80" orientation="portrait"/>
  <headerFooter>
    <oddHeader>&amp;C&amp;9Seite 3</oddHeader>
    <oddFooter>&amp;L&amp;8Version: 21.11.2024&amp;C&amp;8Verhandlungsunterlagen TP/KZP SGB XI&amp;R&amp;8PSK vom 07.11.2024</oddFooter>
  </headerFooter>
  <ignoredErrors>
    <ignoredError sqref="I11" unlockedFormula="1"/>
  </ignoredErrors>
  <extLst>
    <ext xmlns:x14="http://schemas.microsoft.com/office/spreadsheetml/2009/9/main" uri="{78C0D931-6437-407d-A8EE-F0AAD7539E65}">
      <x14:conditionalFormattings>
        <x14:conditionalFormatting xmlns:xm="http://schemas.microsoft.com/office/excel/2006/main">
          <x14:cfRule type="expression" priority="39" id="{5B4405F6-036A-40F8-8CD7-963E06BF0827}">
            <xm:f>'Allgemeine Angaben'!$E$7&lt;&gt;"wph"</xm:f>
            <x14:dxf>
              <font>
                <color theme="0"/>
              </font>
              <fill>
                <patternFill>
                  <fgColor theme="0"/>
                  <bgColor theme="0"/>
                </patternFill>
              </fill>
              <border>
                <left/>
                <right/>
                <top/>
                <bottom/>
                <vertical/>
                <horizontal/>
              </border>
            </x14:dxf>
          </x14:cfRule>
          <xm:sqref>B66:J66</xm:sqref>
        </x14:conditionalFormatting>
        <x14:conditionalFormatting xmlns:xm="http://schemas.microsoft.com/office/excel/2006/main">
          <x14:cfRule type="expression" priority="1" id="{A467EB21-999D-4268-A6B2-9141C262D0FA}">
            <xm:f>KAT!$A$34="nein"</xm:f>
            <x14:dxf>
              <fill>
                <patternFill>
                  <bgColor theme="0"/>
                </patternFill>
              </fill>
            </x14:dxf>
          </x14:cfRule>
          <xm:sqref>C58</xm:sqref>
        </x14:conditionalFormatting>
        <x14:conditionalFormatting xmlns:xm="http://schemas.microsoft.com/office/excel/2006/main">
          <x14:cfRule type="expression" priority="10" id="{466657F5-1D97-4454-BAA1-B62640DB83C6}">
            <xm:f>KAT!$A$34="nein"</xm:f>
            <x14:dxf>
              <fill>
                <patternFill>
                  <bgColor theme="0"/>
                </patternFill>
              </fill>
            </x14:dxf>
          </x14:cfRule>
          <xm:sqref>H20</xm:sqref>
        </x14:conditionalFormatting>
        <x14:conditionalFormatting xmlns:xm="http://schemas.microsoft.com/office/excel/2006/main">
          <x14:cfRule type="expression" priority="9" id="{DA37FAE7-9A2A-4EDA-B2A8-C5278DE05614}">
            <xm:f>KAT!$A$34="nein"</xm:f>
            <x14:dxf>
              <fill>
                <patternFill>
                  <bgColor theme="0"/>
                </patternFill>
              </fill>
            </x14:dxf>
          </x14:cfRule>
          <xm:sqref>H27</xm:sqref>
        </x14:conditionalFormatting>
        <x14:conditionalFormatting xmlns:xm="http://schemas.microsoft.com/office/excel/2006/main">
          <x14:cfRule type="expression" priority="7" id="{F181EA52-3354-4625-B71B-F0132808D1D9}">
            <xm:f>KAT!$A$34="nein"</xm:f>
            <x14:dxf>
              <fill>
                <patternFill>
                  <bgColor theme="0"/>
                </patternFill>
              </fill>
            </x14:dxf>
          </x14:cfRule>
          <xm:sqref>H30:H31</xm:sqref>
        </x14:conditionalFormatting>
        <x14:conditionalFormatting xmlns:xm="http://schemas.microsoft.com/office/excel/2006/main">
          <x14:cfRule type="expression" priority="6" id="{42D8AA5A-E5F1-4F1E-8B84-79D9250903A0}">
            <xm:f>KAT!$A$34="nein"</xm:f>
            <x14:dxf>
              <fill>
                <patternFill>
                  <bgColor theme="0"/>
                </patternFill>
              </fill>
            </x14:dxf>
          </x14:cfRule>
          <xm:sqref>H35</xm:sqref>
        </x14:conditionalFormatting>
        <x14:conditionalFormatting xmlns:xm="http://schemas.microsoft.com/office/excel/2006/main">
          <x14:cfRule type="expression" priority="5" id="{C1DF0687-B768-4AF9-9473-90A4CA410B6B}">
            <xm:f>KAT!$A$34="nein"</xm:f>
            <x14:dxf>
              <fill>
                <patternFill>
                  <bgColor theme="0"/>
                </patternFill>
              </fill>
            </x14:dxf>
          </x14:cfRule>
          <xm:sqref>H40</xm:sqref>
        </x14:conditionalFormatting>
        <x14:conditionalFormatting xmlns:xm="http://schemas.microsoft.com/office/excel/2006/main">
          <x14:cfRule type="expression" priority="4" id="{87A02087-4257-4B56-9AFB-A11323F0B008}">
            <xm:f>KAT!$A$34="nein"</xm:f>
            <x14:dxf>
              <fill>
                <patternFill>
                  <bgColor theme="0"/>
                </patternFill>
              </fill>
            </x14:dxf>
          </x14:cfRule>
          <xm:sqref>H42</xm:sqref>
        </x14:conditionalFormatting>
        <x14:conditionalFormatting xmlns:xm="http://schemas.microsoft.com/office/excel/2006/main">
          <x14:cfRule type="expression" priority="3" id="{ED59376C-B26B-4F23-82A5-E842EAC0D8F8}">
            <xm:f>KAT!$A$34="nein"</xm:f>
            <x14:dxf>
              <fill>
                <patternFill>
                  <bgColor theme="0"/>
                </patternFill>
              </fill>
            </x14:dxf>
          </x14:cfRule>
          <xm:sqref>H44</xm:sqref>
        </x14:conditionalFormatting>
        <x14:conditionalFormatting xmlns:xm="http://schemas.microsoft.com/office/excel/2006/main">
          <x14:cfRule type="expression" priority="2" id="{EB5071E9-0DE5-41E9-81D6-2F09382FDA36}">
            <xm:f>KAT!$A$34="nein"</xm:f>
            <x14:dxf>
              <fill>
                <patternFill>
                  <bgColor theme="0"/>
                </patternFill>
              </fill>
            </x14:dxf>
          </x14:cfRule>
          <xm:sqref>H46</xm:sqref>
        </x14:conditionalFormatting>
        <x14:conditionalFormatting xmlns:xm="http://schemas.microsoft.com/office/excel/2006/main">
          <x14:cfRule type="expression" priority="15" id="{C03678E3-B045-4C55-BC0A-BF84B7CC5B7C}">
            <xm:f>'Allgemeine Angaben'!$D$6:$G$6="4. Generation"</xm:f>
            <x14:dxf>
              <fill>
                <patternFill>
                  <bgColor rgb="FFFFFF99"/>
                </patternFill>
              </fill>
              <border>
                <left style="thin">
                  <color auto="1"/>
                </left>
                <right style="thin">
                  <color auto="1"/>
                </right>
                <top style="thin">
                  <color auto="1"/>
                </top>
                <bottom style="thin">
                  <color auto="1"/>
                </bottom>
                <vertical/>
                <horizontal/>
              </border>
            </x14:dxf>
          </x14:cfRule>
          <xm:sqref>I15</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pageSetUpPr fitToPage="1"/>
  </sheetPr>
  <dimension ref="A1:U68"/>
  <sheetViews>
    <sheetView showGridLines="0" zoomScaleNormal="100" workbookViewId="0">
      <selection activeCell="A4" sqref="A4:P4"/>
    </sheetView>
  </sheetViews>
  <sheetFormatPr baseColWidth="10" defaultRowHeight="14.25"/>
  <cols>
    <col min="1" max="1" width="3.625" style="3" customWidth="1"/>
    <col min="2" max="2" width="4.25" style="3" customWidth="1"/>
    <col min="3" max="3" width="3" style="3" customWidth="1"/>
    <col min="4" max="4" width="14.5" style="3" customWidth="1"/>
    <col min="5" max="5" width="2.625" style="3" customWidth="1"/>
    <col min="6" max="6" width="8.5" style="3" customWidth="1"/>
    <col min="7" max="7" width="1.125" style="3" customWidth="1"/>
    <col min="8" max="8" width="17" style="3" customWidth="1"/>
    <col min="9" max="9" width="2.625" style="3" customWidth="1"/>
    <col min="10" max="10" width="14.5" style="3" customWidth="1"/>
    <col min="11" max="11" width="2.625" style="3" customWidth="1"/>
    <col min="12" max="12" width="14.5" style="3" customWidth="1"/>
    <col min="13" max="13" width="5" style="3" customWidth="1"/>
    <col min="14" max="14" width="2.625" style="3" customWidth="1"/>
    <col min="15" max="15" width="4.625" style="3" customWidth="1"/>
    <col min="16" max="16" width="3.625" style="3" customWidth="1"/>
    <col min="17" max="16384" width="11" style="3"/>
  </cols>
  <sheetData>
    <row r="1" spans="1:17" ht="15" customHeight="1">
      <c r="A1" s="1356" t="str">
        <f>'Allgemeine Angaben'!A1:N1</f>
        <v>Aufforderung zum Abschluss einer Pflegesatzvereinbarung gemäß §§ 84, 85 SGB XI</v>
      </c>
      <c r="B1" s="1357"/>
      <c r="C1" s="1357"/>
      <c r="D1" s="1357"/>
      <c r="E1" s="1357"/>
      <c r="F1" s="1357"/>
      <c r="G1" s="1357"/>
      <c r="H1" s="1357"/>
      <c r="I1" s="1357"/>
      <c r="J1" s="1357"/>
      <c r="K1" s="1357"/>
      <c r="L1" s="1499"/>
      <c r="M1" s="1499"/>
      <c r="N1" s="1499"/>
      <c r="O1" s="1499"/>
      <c r="P1" s="1500"/>
      <c r="Q1" s="587"/>
    </row>
    <row r="2" spans="1:17" ht="15" customHeight="1">
      <c r="A2" s="1359" t="s">
        <v>67</v>
      </c>
      <c r="B2" s="1360"/>
      <c r="C2" s="1360"/>
      <c r="D2" s="1360"/>
      <c r="E2" s="1360"/>
      <c r="F2" s="1360"/>
      <c r="G2" s="1360"/>
      <c r="H2" s="1360"/>
      <c r="I2" s="1360"/>
      <c r="J2" s="1360"/>
      <c r="K2" s="1360"/>
      <c r="L2" s="1501"/>
      <c r="M2" s="1501"/>
      <c r="N2" s="1501"/>
      <c r="O2" s="1501"/>
      <c r="P2" s="1502"/>
      <c r="Q2" s="286"/>
    </row>
    <row r="3" spans="1:17" ht="15" customHeight="1">
      <c r="A3" s="1377" t="str">
        <f>'Allgemeine Angaben'!A3:N3</f>
        <v/>
      </c>
      <c r="B3" s="1378"/>
      <c r="C3" s="1378"/>
      <c r="D3" s="1378"/>
      <c r="E3" s="1378"/>
      <c r="F3" s="1378"/>
      <c r="G3" s="1378"/>
      <c r="H3" s="1378"/>
      <c r="I3" s="1378"/>
      <c r="J3" s="1378"/>
      <c r="K3" s="1378"/>
      <c r="L3" s="1501"/>
      <c r="M3" s="1501"/>
      <c r="N3" s="1501"/>
      <c r="O3" s="1501"/>
      <c r="P3" s="1502"/>
    </row>
    <row r="4" spans="1:17" ht="15" customHeight="1">
      <c r="A4" s="1380" t="str">
        <f>'Allgemeine Angaben'!A4:N4</f>
        <v/>
      </c>
      <c r="B4" s="1381"/>
      <c r="C4" s="1381"/>
      <c r="D4" s="1381"/>
      <c r="E4" s="1381"/>
      <c r="F4" s="1381"/>
      <c r="G4" s="1381"/>
      <c r="H4" s="1381"/>
      <c r="I4" s="1381"/>
      <c r="J4" s="1381"/>
      <c r="K4" s="1381"/>
      <c r="L4" s="1503"/>
      <c r="M4" s="1503"/>
      <c r="N4" s="1503"/>
      <c r="O4" s="1503"/>
      <c r="P4" s="1504"/>
    </row>
    <row r="5" spans="1:17" s="10" customFormat="1" ht="14.25" customHeight="1">
      <c r="A5" s="126"/>
      <c r="P5" s="127"/>
    </row>
    <row r="6" spans="1:17" ht="14.25" customHeight="1">
      <c r="A6" s="2"/>
      <c r="C6" s="1494" t="s">
        <v>68</v>
      </c>
      <c r="D6" s="1505"/>
      <c r="E6" s="1506"/>
      <c r="I6" s="1494" t="s">
        <v>69</v>
      </c>
      <c r="J6" s="1495"/>
      <c r="K6" s="1496"/>
      <c r="P6" s="4"/>
    </row>
    <row r="7" spans="1:17" ht="3" customHeight="1">
      <c r="A7" s="2"/>
      <c r="P7" s="4"/>
    </row>
    <row r="8" spans="1:17" ht="12.75" customHeight="1">
      <c r="A8" s="2"/>
      <c r="D8" s="7" t="s">
        <v>70</v>
      </c>
      <c r="E8" s="84"/>
      <c r="F8" s="105"/>
      <c r="G8" s="16"/>
      <c r="J8" s="7" t="s">
        <v>70</v>
      </c>
      <c r="K8" s="128"/>
      <c r="P8" s="4"/>
    </row>
    <row r="9" spans="1:17" s="50" customFormat="1" ht="3" customHeight="1">
      <c r="A9" s="2"/>
      <c r="B9" s="3"/>
      <c r="C9" s="3"/>
      <c r="D9" s="129"/>
      <c r="E9" s="84"/>
      <c r="F9" s="129"/>
      <c r="G9" s="3"/>
      <c r="J9" s="130"/>
      <c r="K9" s="131"/>
      <c r="L9" s="3"/>
      <c r="P9" s="66"/>
    </row>
    <row r="10" spans="1:17" s="50" customFormat="1" ht="14.25" customHeight="1">
      <c r="A10" s="2"/>
      <c r="B10" s="3"/>
      <c r="C10" s="3"/>
      <c r="D10" s="132"/>
      <c r="E10" s="133"/>
      <c r="F10" s="1509" t="s">
        <v>57</v>
      </c>
      <c r="G10" s="1490"/>
      <c r="H10" s="1490"/>
      <c r="I10" s="134"/>
      <c r="J10" s="1497"/>
      <c r="K10" s="1498"/>
      <c r="L10" s="3"/>
      <c r="P10" s="66"/>
      <c r="Q10" s="611"/>
    </row>
    <row r="11" spans="1:17" s="50" customFormat="1" ht="3" customHeight="1">
      <c r="A11" s="2"/>
      <c r="B11" s="3"/>
      <c r="C11" s="3"/>
      <c r="D11" s="129"/>
      <c r="E11" s="84"/>
      <c r="F11" s="129"/>
      <c r="G11" s="3"/>
      <c r="J11" s="130"/>
      <c r="K11" s="131"/>
      <c r="L11" s="3"/>
      <c r="P11" s="66"/>
    </row>
    <row r="12" spans="1:17" s="50" customFormat="1" ht="14.25" customHeight="1">
      <c r="A12" s="2"/>
      <c r="B12" s="3"/>
      <c r="C12" s="3"/>
      <c r="D12" s="132"/>
      <c r="E12" s="133"/>
      <c r="F12" s="1509" t="s">
        <v>71</v>
      </c>
      <c r="G12" s="1490"/>
      <c r="H12" s="1490"/>
      <c r="I12" s="134"/>
      <c r="J12" s="1497"/>
      <c r="K12" s="1498"/>
      <c r="L12" s="3"/>
      <c r="P12" s="66"/>
    </row>
    <row r="13" spans="1:17" s="50" customFormat="1" ht="3" customHeight="1">
      <c r="A13" s="2"/>
      <c r="B13" s="3"/>
      <c r="C13" s="3"/>
      <c r="D13" s="129"/>
      <c r="E13" s="84"/>
      <c r="F13" s="129"/>
      <c r="G13" s="3"/>
      <c r="J13" s="130"/>
      <c r="K13" s="131"/>
      <c r="L13" s="3"/>
      <c r="P13" s="66"/>
    </row>
    <row r="14" spans="1:17" s="50" customFormat="1" ht="14.25" customHeight="1">
      <c r="A14" s="2"/>
      <c r="B14" s="3"/>
      <c r="C14" s="3"/>
      <c r="D14" s="132"/>
      <c r="E14" s="133"/>
      <c r="F14" s="1509" t="s">
        <v>72</v>
      </c>
      <c r="G14" s="1490"/>
      <c r="H14" s="1490"/>
      <c r="I14" s="134"/>
      <c r="J14" s="1497"/>
      <c r="K14" s="1498"/>
      <c r="L14" s="3"/>
      <c r="P14" s="66"/>
    </row>
    <row r="15" spans="1:17" s="50" customFormat="1" ht="3" customHeight="1">
      <c r="A15" s="2"/>
      <c r="B15" s="3"/>
      <c r="C15" s="3"/>
      <c r="D15" s="129"/>
      <c r="E15" s="84"/>
      <c r="F15" s="129"/>
      <c r="G15" s="3"/>
      <c r="J15" s="130"/>
      <c r="K15" s="131"/>
      <c r="L15" s="3"/>
      <c r="P15" s="66"/>
    </row>
    <row r="16" spans="1:17" s="50" customFormat="1" ht="14.25" customHeight="1">
      <c r="A16" s="2"/>
      <c r="B16" s="3"/>
      <c r="C16" s="3"/>
      <c r="D16" s="132"/>
      <c r="E16" s="133"/>
      <c r="F16" s="1509" t="s">
        <v>73</v>
      </c>
      <c r="G16" s="1490"/>
      <c r="H16" s="1490"/>
      <c r="I16" s="134"/>
      <c r="J16" s="1497"/>
      <c r="K16" s="1498"/>
      <c r="L16" s="3"/>
      <c r="P16" s="66"/>
    </row>
    <row r="17" spans="1:17" s="50" customFormat="1" ht="3" customHeight="1">
      <c r="A17" s="2"/>
      <c r="B17" s="3"/>
      <c r="C17" s="3"/>
      <c r="D17" s="129"/>
      <c r="E17" s="84"/>
      <c r="F17" s="129"/>
      <c r="G17" s="3"/>
      <c r="J17" s="130"/>
      <c r="K17" s="131"/>
      <c r="L17" s="3"/>
      <c r="P17" s="66"/>
    </row>
    <row r="18" spans="1:17" s="50" customFormat="1" ht="14.25" customHeight="1">
      <c r="A18" s="2"/>
      <c r="B18" s="3"/>
      <c r="C18" s="3"/>
      <c r="D18" s="132"/>
      <c r="E18" s="133"/>
      <c r="F18" s="1509" t="s">
        <v>59</v>
      </c>
      <c r="G18" s="1490"/>
      <c r="H18" s="1490"/>
      <c r="I18" s="134"/>
      <c r="J18" s="1497"/>
      <c r="K18" s="1498"/>
      <c r="L18" s="3"/>
      <c r="P18" s="66"/>
    </row>
    <row r="19" spans="1:17" s="50" customFormat="1" ht="3" customHeight="1">
      <c r="A19" s="2"/>
      <c r="B19" s="3"/>
      <c r="C19" s="3"/>
      <c r="D19" s="129"/>
      <c r="E19" s="84"/>
      <c r="F19" s="129"/>
      <c r="G19" s="3"/>
      <c r="J19" s="130"/>
      <c r="K19" s="131"/>
      <c r="L19" s="3"/>
      <c r="P19" s="66"/>
    </row>
    <row r="20" spans="1:17" s="51" customFormat="1" ht="13.5" customHeight="1">
      <c r="A20" s="2"/>
      <c r="B20" s="3"/>
      <c r="C20" s="3"/>
      <c r="D20" s="132"/>
      <c r="E20" s="133"/>
      <c r="F20" s="1507"/>
      <c r="G20" s="1508"/>
      <c r="H20" s="1508"/>
      <c r="I20" s="134"/>
      <c r="J20" s="1497"/>
      <c r="K20" s="1498"/>
      <c r="L20" s="3"/>
      <c r="P20" s="52"/>
      <c r="Q20" s="53"/>
    </row>
    <row r="21" spans="1:17" s="50" customFormat="1" ht="3" customHeight="1">
      <c r="A21" s="2"/>
      <c r="B21" s="3"/>
      <c r="C21" s="3"/>
      <c r="D21" s="129"/>
      <c r="E21" s="84"/>
      <c r="F21" s="129"/>
      <c r="G21" s="3"/>
      <c r="J21" s="130"/>
      <c r="K21" s="131"/>
      <c r="L21" s="3"/>
      <c r="P21" s="66"/>
    </row>
    <row r="22" spans="1:17" s="51" customFormat="1" ht="14.25" customHeight="1">
      <c r="A22" s="2"/>
      <c r="B22" s="3"/>
      <c r="C22" s="3"/>
      <c r="D22" s="132"/>
      <c r="E22" s="133"/>
      <c r="F22" s="1507"/>
      <c r="G22" s="1508"/>
      <c r="H22" s="1508"/>
      <c r="I22" s="134"/>
      <c r="J22" s="1497"/>
      <c r="K22" s="1498"/>
      <c r="L22" s="3"/>
      <c r="P22" s="52"/>
      <c r="Q22" s="469"/>
    </row>
    <row r="23" spans="1:17" ht="3" customHeight="1">
      <c r="A23" s="2"/>
      <c r="E23" s="84"/>
      <c r="I23" s="131"/>
      <c r="J23" s="131"/>
      <c r="K23" s="131"/>
      <c r="P23" s="4"/>
    </row>
    <row r="24" spans="1:17" ht="14.25" customHeight="1">
      <c r="A24" s="2"/>
      <c r="E24" s="84"/>
      <c r="P24" s="4"/>
    </row>
    <row r="25" spans="1:17" ht="15" customHeight="1">
      <c r="A25" s="135"/>
      <c r="B25" s="136" t="s">
        <v>219</v>
      </c>
      <c r="C25" s="134"/>
      <c r="D25" s="134"/>
      <c r="E25" s="134"/>
      <c r="F25" s="134"/>
      <c r="G25" s="137"/>
      <c r="H25" s="137"/>
      <c r="I25" s="134"/>
      <c r="J25" s="134"/>
      <c r="K25" s="134"/>
      <c r="L25" s="137"/>
      <c r="M25" s="134"/>
      <c r="N25" s="134"/>
      <c r="O25" s="134"/>
      <c r="P25" s="4"/>
    </row>
    <row r="26" spans="1:17" ht="4.5" customHeight="1">
      <c r="A26" s="2"/>
      <c r="O26" s="55"/>
      <c r="P26" s="4"/>
    </row>
    <row r="27" spans="1:17" ht="14.25" customHeight="1">
      <c r="A27" s="138"/>
      <c r="G27" s="46"/>
      <c r="H27" s="909" t="s">
        <v>74</v>
      </c>
      <c r="J27" s="139"/>
      <c r="L27" s="608"/>
      <c r="M27" s="1513" t="s">
        <v>75</v>
      </c>
      <c r="O27" s="1510" t="s">
        <v>76</v>
      </c>
      <c r="P27" s="4"/>
      <c r="Q27" s="610"/>
    </row>
    <row r="28" spans="1:17" ht="14.25" customHeight="1">
      <c r="A28" s="138"/>
      <c r="G28" s="46"/>
      <c r="H28" s="910" t="s">
        <v>77</v>
      </c>
      <c r="J28" s="140" t="s">
        <v>78</v>
      </c>
      <c r="L28" s="605" t="s">
        <v>78</v>
      </c>
      <c r="M28" s="1514"/>
      <c r="O28" s="1511"/>
      <c r="P28" s="4"/>
      <c r="Q28" s="610"/>
    </row>
    <row r="29" spans="1:17" ht="14.25" customHeight="1">
      <c r="A29" s="2"/>
      <c r="G29" s="46"/>
      <c r="H29" s="910" t="s">
        <v>79</v>
      </c>
      <c r="J29" s="141"/>
      <c r="L29" s="606" t="s">
        <v>396</v>
      </c>
      <c r="M29" s="1514"/>
      <c r="O29" s="1511"/>
      <c r="P29" s="4"/>
    </row>
    <row r="30" spans="1:17" ht="14.25" customHeight="1">
      <c r="A30" s="2"/>
      <c r="G30" s="908"/>
      <c r="H30" s="907" t="s">
        <v>80</v>
      </c>
      <c r="J30" s="142" t="s">
        <v>80</v>
      </c>
      <c r="L30" s="607" t="s">
        <v>80</v>
      </c>
      <c r="M30" s="1515"/>
      <c r="O30" s="1512"/>
      <c r="P30" s="4"/>
    </row>
    <row r="31" spans="1:17" ht="3" customHeight="1">
      <c r="A31" s="2"/>
      <c r="G31" s="143"/>
      <c r="H31" s="143"/>
      <c r="J31" s="143"/>
      <c r="L31" s="143"/>
      <c r="O31" s="144"/>
      <c r="P31" s="4"/>
    </row>
    <row r="32" spans="1:17" s="51" customFormat="1" ht="14.25" customHeight="1">
      <c r="A32" s="49"/>
      <c r="B32" s="145" t="s">
        <v>81</v>
      </c>
      <c r="C32" s="1516" t="s">
        <v>82</v>
      </c>
      <c r="D32" s="1517"/>
      <c r="E32" s="1517"/>
      <c r="F32" s="1517"/>
      <c r="G32" s="1517"/>
      <c r="H32" s="585"/>
      <c r="I32" s="146"/>
      <c r="J32" s="905"/>
      <c r="K32" s="146"/>
      <c r="L32" s="620">
        <f>IFERROR(J32*(1+J61),"")</f>
        <v>0</v>
      </c>
      <c r="M32" s="147" t="str">
        <f t="shared" ref="M32:M42" si="0">IFERROR(L32/divisor,"")</f>
        <v/>
      </c>
      <c r="N32" s="148"/>
      <c r="O32" s="149"/>
      <c r="P32" s="52"/>
      <c r="Q32" s="622"/>
    </row>
    <row r="33" spans="1:19" s="51" customFormat="1" ht="14.25" customHeight="1">
      <c r="A33" s="49"/>
      <c r="B33" s="145" t="s">
        <v>83</v>
      </c>
      <c r="C33" s="1516" t="s">
        <v>84</v>
      </c>
      <c r="D33" s="1517"/>
      <c r="E33" s="1517"/>
      <c r="F33" s="1517"/>
      <c r="G33" s="1517"/>
      <c r="H33" s="585"/>
      <c r="I33" s="146"/>
      <c r="J33" s="905"/>
      <c r="K33" s="146"/>
      <c r="L33" s="620">
        <f>IFERROR(J33*(1+J61),"")</f>
        <v>0</v>
      </c>
      <c r="M33" s="147" t="str">
        <f t="shared" si="0"/>
        <v/>
      </c>
      <c r="N33" s="148"/>
      <c r="O33" s="149"/>
      <c r="P33" s="52"/>
      <c r="Q33" s="622"/>
    </row>
    <row r="34" spans="1:19" s="51" customFormat="1" ht="14.25" customHeight="1">
      <c r="A34" s="49"/>
      <c r="B34" s="145" t="s">
        <v>85</v>
      </c>
      <c r="C34" s="1518" t="s">
        <v>86</v>
      </c>
      <c r="D34" s="1519"/>
      <c r="E34" s="1519"/>
      <c r="F34" s="1519"/>
      <c r="G34" s="1519"/>
      <c r="H34" s="904"/>
      <c r="I34" s="150"/>
      <c r="J34" s="904"/>
      <c r="K34" s="150"/>
      <c r="L34" s="620">
        <f>IFERROR(J34*(1+J61),"")</f>
        <v>0</v>
      </c>
      <c r="M34" s="147" t="str">
        <f t="shared" si="0"/>
        <v/>
      </c>
      <c r="N34" s="151"/>
      <c r="O34" s="152"/>
      <c r="P34" s="52"/>
      <c r="Q34" s="611"/>
    </row>
    <row r="35" spans="1:19" s="51" customFormat="1" ht="14.25" customHeight="1">
      <c r="A35" s="49"/>
      <c r="B35" s="145" t="s">
        <v>87</v>
      </c>
      <c r="C35" s="1516" t="s">
        <v>88</v>
      </c>
      <c r="D35" s="1517"/>
      <c r="E35" s="1517"/>
      <c r="F35" s="1517"/>
      <c r="G35" s="1517"/>
      <c r="H35" s="585"/>
      <c r="I35" s="146"/>
      <c r="J35" s="905"/>
      <c r="K35" s="146"/>
      <c r="L35" s="620">
        <f>IFERROR(J35*(1+J61),"")</f>
        <v>0</v>
      </c>
      <c r="M35" s="147" t="str">
        <f t="shared" si="0"/>
        <v/>
      </c>
      <c r="N35" s="148"/>
      <c r="O35" s="149"/>
      <c r="P35" s="52"/>
    </row>
    <row r="36" spans="1:19" s="51" customFormat="1" ht="14.25" customHeight="1">
      <c r="A36" s="49"/>
      <c r="B36" s="145" t="s">
        <v>89</v>
      </c>
      <c r="C36" s="1516" t="s">
        <v>90</v>
      </c>
      <c r="D36" s="1517"/>
      <c r="E36" s="1517"/>
      <c r="F36" s="1517"/>
      <c r="G36" s="1517"/>
      <c r="H36" s="585"/>
      <c r="I36" s="146"/>
      <c r="J36" s="905"/>
      <c r="K36" s="146"/>
      <c r="L36" s="620">
        <f>IFERROR(J36*(1+J61),"")</f>
        <v>0</v>
      </c>
      <c r="M36" s="147" t="str">
        <f t="shared" si="0"/>
        <v/>
      </c>
      <c r="N36" s="148"/>
      <c r="O36" s="149"/>
      <c r="P36" s="52"/>
    </row>
    <row r="37" spans="1:19" s="51" customFormat="1" ht="14.25" customHeight="1">
      <c r="A37" s="49"/>
      <c r="B37" s="145" t="s">
        <v>91</v>
      </c>
      <c r="C37" s="1516" t="s">
        <v>92</v>
      </c>
      <c r="D37" s="1517"/>
      <c r="E37" s="1517"/>
      <c r="F37" s="1517"/>
      <c r="G37" s="1517"/>
      <c r="H37" s="585"/>
      <c r="I37" s="146"/>
      <c r="J37" s="905"/>
      <c r="K37" s="146"/>
      <c r="L37" s="620">
        <f>IFERROR(J37*(1+J61),"")</f>
        <v>0</v>
      </c>
      <c r="M37" s="147" t="str">
        <f t="shared" si="0"/>
        <v/>
      </c>
      <c r="N37" s="148"/>
      <c r="O37" s="149"/>
      <c r="P37" s="52"/>
    </row>
    <row r="38" spans="1:19" s="51" customFormat="1" ht="14.25" customHeight="1">
      <c r="A38" s="49"/>
      <c r="B38" s="145" t="s">
        <v>93</v>
      </c>
      <c r="C38" s="1516" t="s">
        <v>94</v>
      </c>
      <c r="D38" s="1517"/>
      <c r="E38" s="1517"/>
      <c r="F38" s="1517"/>
      <c r="G38" s="1517"/>
      <c r="H38" s="585"/>
      <c r="I38" s="146"/>
      <c r="J38" s="905"/>
      <c r="K38" s="146"/>
      <c r="L38" s="620">
        <f>IFERROR(J38*(1+J61),"")</f>
        <v>0</v>
      </c>
      <c r="M38" s="147" t="str">
        <f t="shared" si="0"/>
        <v/>
      </c>
      <c r="N38" s="148"/>
      <c r="O38" s="149"/>
      <c r="P38" s="52"/>
      <c r="Q38" s="469"/>
    </row>
    <row r="39" spans="1:19" s="51" customFormat="1" ht="14.25" customHeight="1">
      <c r="A39" s="49"/>
      <c r="B39" s="145" t="s">
        <v>95</v>
      </c>
      <c r="C39" s="1516" t="s">
        <v>96</v>
      </c>
      <c r="D39" s="1517"/>
      <c r="E39" s="1517"/>
      <c r="F39" s="1517"/>
      <c r="G39" s="1517"/>
      <c r="H39" s="585"/>
      <c r="I39" s="146"/>
      <c r="J39" s="905"/>
      <c r="K39" s="146"/>
      <c r="L39" s="620">
        <f>IFERROR(J39*(1+J61),"")</f>
        <v>0</v>
      </c>
      <c r="M39" s="147" t="str">
        <f t="shared" si="0"/>
        <v/>
      </c>
      <c r="N39" s="148"/>
      <c r="O39" s="149"/>
      <c r="P39" s="52"/>
    </row>
    <row r="40" spans="1:19" s="51" customFormat="1" ht="14.25" customHeight="1">
      <c r="A40" s="49"/>
      <c r="B40" s="145" t="s">
        <v>97</v>
      </c>
      <c r="C40" s="1516" t="s">
        <v>98</v>
      </c>
      <c r="D40" s="1517"/>
      <c r="E40" s="1517"/>
      <c r="F40" s="1517"/>
      <c r="G40" s="1517"/>
      <c r="H40" s="585"/>
      <c r="I40" s="146"/>
      <c r="J40" s="905"/>
      <c r="K40" s="146"/>
      <c r="L40" s="620">
        <f>IFERROR(J40*(1+J61),"")</f>
        <v>0</v>
      </c>
      <c r="M40" s="147" t="str">
        <f t="shared" si="0"/>
        <v/>
      </c>
      <c r="N40" s="148"/>
      <c r="O40" s="149"/>
      <c r="P40" s="154"/>
    </row>
    <row r="41" spans="1:19" s="51" customFormat="1" ht="14.25" customHeight="1">
      <c r="A41" s="49"/>
      <c r="B41" s="145" t="s">
        <v>99</v>
      </c>
      <c r="C41" s="1516" t="s">
        <v>100</v>
      </c>
      <c r="D41" s="1517"/>
      <c r="E41" s="1517"/>
      <c r="F41" s="1517"/>
      <c r="G41" s="1517"/>
      <c r="H41" s="585"/>
      <c r="I41" s="146"/>
      <c r="J41" s="905"/>
      <c r="K41" s="146"/>
      <c r="L41" s="620">
        <f>IFERROR(J41*(1+J61),"")</f>
        <v>0</v>
      </c>
      <c r="M41" s="147" t="str">
        <f t="shared" si="0"/>
        <v/>
      </c>
      <c r="N41" s="148"/>
      <c r="O41" s="149"/>
      <c r="P41" s="52"/>
    </row>
    <row r="42" spans="1:19" s="51" customFormat="1" ht="15" customHeight="1" thickBot="1">
      <c r="A42" s="49"/>
      <c r="B42" s="155"/>
      <c r="C42" s="1520" t="s">
        <v>527</v>
      </c>
      <c r="D42" s="1521"/>
      <c r="E42" s="1521"/>
      <c r="F42" s="1521"/>
      <c r="G42" s="1521"/>
      <c r="H42" s="586">
        <f>SUM(H32:H41)</f>
        <v>0</v>
      </c>
      <c r="I42" s="146"/>
      <c r="J42" s="586">
        <f>SUM(J32:J34,J35:J39,J40:J41)</f>
        <v>0</v>
      </c>
      <c r="K42" s="146"/>
      <c r="L42" s="621">
        <f>SUM(L32:L34,L35:L39,L40:L41)</f>
        <v>0</v>
      </c>
      <c r="M42" s="156" t="str">
        <f t="shared" si="0"/>
        <v/>
      </c>
      <c r="N42" s="157"/>
      <c r="O42" s="158"/>
      <c r="P42" s="52"/>
    </row>
    <row r="43" spans="1:19" ht="14.25" customHeight="1" thickTop="1">
      <c r="A43" s="2"/>
      <c r="P43" s="4"/>
    </row>
    <row r="44" spans="1:19" ht="14.25" customHeight="1">
      <c r="A44" s="2"/>
      <c r="B44" s="159" t="s">
        <v>220</v>
      </c>
      <c r="C44" s="134"/>
      <c r="D44" s="134"/>
      <c r="E44" s="134"/>
      <c r="F44" s="134"/>
      <c r="G44" s="134"/>
      <c r="H44" s="134"/>
      <c r="I44" s="134"/>
      <c r="J44" s="134"/>
      <c r="K44" s="134"/>
      <c r="L44" s="134"/>
      <c r="M44" s="134"/>
      <c r="N44" s="134"/>
      <c r="O44" s="134"/>
      <c r="P44" s="4"/>
      <c r="Q44" s="57"/>
    </row>
    <row r="45" spans="1:19" ht="4.5" customHeight="1">
      <c r="A45" s="2"/>
      <c r="O45" s="55"/>
      <c r="P45" s="4"/>
    </row>
    <row r="46" spans="1:19" ht="14.25" customHeight="1">
      <c r="A46" s="2"/>
      <c r="G46" s="46"/>
      <c r="H46" s="909" t="s">
        <v>528</v>
      </c>
      <c r="J46" s="160"/>
      <c r="L46" s="604"/>
      <c r="M46" s="1513" t="s">
        <v>75</v>
      </c>
      <c r="O46" s="1510" t="s">
        <v>101</v>
      </c>
      <c r="P46" s="4"/>
    </row>
    <row r="47" spans="1:19" ht="14.25" customHeight="1">
      <c r="A47" s="2"/>
      <c r="G47" s="46"/>
      <c r="H47" s="910" t="s">
        <v>77</v>
      </c>
      <c r="J47" s="161" t="s">
        <v>102</v>
      </c>
      <c r="L47" s="605" t="s">
        <v>102</v>
      </c>
      <c r="M47" s="1514"/>
      <c r="O47" s="1511"/>
      <c r="P47" s="4"/>
    </row>
    <row r="48" spans="1:19" ht="14.25" customHeight="1">
      <c r="A48" s="2"/>
      <c r="G48" s="46"/>
      <c r="H48" s="910" t="s">
        <v>79</v>
      </c>
      <c r="J48" s="161"/>
      <c r="L48" s="606" t="s">
        <v>396</v>
      </c>
      <c r="M48" s="1514"/>
      <c r="O48" s="1511"/>
      <c r="P48" s="4"/>
      <c r="S48" s="609"/>
    </row>
    <row r="49" spans="1:21" ht="14.25" customHeight="1">
      <c r="A49" s="2"/>
      <c r="G49" s="46"/>
      <c r="H49" s="912" t="s">
        <v>80</v>
      </c>
      <c r="J49" s="162" t="s">
        <v>80</v>
      </c>
      <c r="L49" s="607" t="s">
        <v>80</v>
      </c>
      <c r="M49" s="1515" t="s">
        <v>75</v>
      </c>
      <c r="O49" s="1512"/>
      <c r="P49" s="4"/>
    </row>
    <row r="50" spans="1:21" ht="4.5" customHeight="1">
      <c r="A50" s="2"/>
      <c r="O50" s="144"/>
      <c r="P50" s="4"/>
    </row>
    <row r="51" spans="1:21" s="51" customFormat="1" ht="14.25" customHeight="1">
      <c r="A51" s="49"/>
      <c r="B51" s="163" t="s">
        <v>103</v>
      </c>
      <c r="C51" s="1523" t="s">
        <v>104</v>
      </c>
      <c r="D51" s="1524"/>
      <c r="E51" s="1524"/>
      <c r="F51" s="1524"/>
      <c r="G51" s="1525"/>
      <c r="H51" s="911"/>
      <c r="I51" s="164"/>
      <c r="J51" s="905"/>
      <c r="K51" s="164"/>
      <c r="L51" s="620">
        <f>IFERROR(J51*(1+J61),"")</f>
        <v>0</v>
      </c>
      <c r="M51" s="165" t="str">
        <f t="shared" ref="M51:M58" si="1">IFERROR(L51/divisor,"")</f>
        <v/>
      </c>
      <c r="N51" s="148"/>
      <c r="P51" s="52"/>
      <c r="Q51" s="53"/>
    </row>
    <row r="52" spans="1:21" s="51" customFormat="1" ht="14.25" customHeight="1">
      <c r="A52" s="49"/>
      <c r="B52" s="163" t="s">
        <v>105</v>
      </c>
      <c r="C52" s="1516" t="s">
        <v>71</v>
      </c>
      <c r="D52" s="1517"/>
      <c r="E52" s="1517"/>
      <c r="F52" s="1517"/>
      <c r="G52" s="1522"/>
      <c r="H52" s="911"/>
      <c r="I52" s="164"/>
      <c r="J52" s="905"/>
      <c r="K52" s="164"/>
      <c r="L52" s="620">
        <f>IFERROR(J52*(1+J61),"")</f>
        <v>0</v>
      </c>
      <c r="M52" s="165" t="str">
        <f t="shared" si="1"/>
        <v/>
      </c>
      <c r="N52" s="148"/>
      <c r="O52" s="149"/>
      <c r="P52" s="52"/>
    </row>
    <row r="53" spans="1:21" s="51" customFormat="1" ht="14.25" customHeight="1">
      <c r="A53" s="49"/>
      <c r="B53" s="163" t="s">
        <v>106</v>
      </c>
      <c r="C53" s="1516" t="s">
        <v>72</v>
      </c>
      <c r="D53" s="1517"/>
      <c r="E53" s="1517"/>
      <c r="F53" s="1517"/>
      <c r="G53" s="1522"/>
      <c r="H53" s="911"/>
      <c r="I53" s="164"/>
      <c r="J53" s="905"/>
      <c r="K53" s="164"/>
      <c r="L53" s="620">
        <f>IFERROR(J53*(1+J61),"")</f>
        <v>0</v>
      </c>
      <c r="M53" s="165" t="str">
        <f t="shared" si="1"/>
        <v/>
      </c>
      <c r="N53" s="148"/>
      <c r="O53" s="149"/>
      <c r="P53" s="52"/>
    </row>
    <row r="54" spans="1:21" s="51" customFormat="1" ht="14.25" customHeight="1">
      <c r="A54" s="49"/>
      <c r="B54" s="163" t="s">
        <v>107</v>
      </c>
      <c r="C54" s="1516" t="s">
        <v>73</v>
      </c>
      <c r="D54" s="1517"/>
      <c r="E54" s="1517"/>
      <c r="F54" s="1517"/>
      <c r="G54" s="1522"/>
      <c r="H54" s="911"/>
      <c r="I54" s="164"/>
      <c r="J54" s="905"/>
      <c r="K54" s="164"/>
      <c r="L54" s="620">
        <f>IFERROR(J54*(1+J61),"")</f>
        <v>0</v>
      </c>
      <c r="M54" s="165" t="str">
        <f t="shared" si="1"/>
        <v/>
      </c>
      <c r="N54" s="148"/>
      <c r="O54" s="149"/>
      <c r="P54" s="52"/>
    </row>
    <row r="55" spans="1:21" s="51" customFormat="1" ht="14.25" customHeight="1">
      <c r="A55" s="49"/>
      <c r="B55" s="163" t="s">
        <v>108</v>
      </c>
      <c r="C55" s="1516" t="s">
        <v>59</v>
      </c>
      <c r="D55" s="1517"/>
      <c r="E55" s="1517"/>
      <c r="F55" s="1517"/>
      <c r="G55" s="1522"/>
      <c r="H55" s="911"/>
      <c r="I55" s="164"/>
      <c r="J55" s="905"/>
      <c r="K55" s="164"/>
      <c r="L55" s="620">
        <f>IFERROR(J55*(1+J61),"")</f>
        <v>0</v>
      </c>
      <c r="M55" s="165" t="str">
        <f t="shared" si="1"/>
        <v/>
      </c>
      <c r="N55" s="148"/>
      <c r="O55" s="149"/>
      <c r="P55" s="52"/>
    </row>
    <row r="56" spans="1:21" s="51" customFormat="1" ht="14.25" customHeight="1">
      <c r="A56" s="49"/>
      <c r="B56" s="163" t="s">
        <v>109</v>
      </c>
      <c r="C56" s="1526" t="str">
        <f>IF(F20&gt;0,F20,"")</f>
        <v/>
      </c>
      <c r="D56" s="1527"/>
      <c r="E56" s="1527"/>
      <c r="F56" s="1527"/>
      <c r="G56" s="1528"/>
      <c r="H56" s="911"/>
      <c r="I56" s="164"/>
      <c r="J56" s="905"/>
      <c r="K56" s="164"/>
      <c r="L56" s="620">
        <f>IFERROR(J56*(1+J61),"")</f>
        <v>0</v>
      </c>
      <c r="M56" s="165" t="str">
        <f t="shared" si="1"/>
        <v/>
      </c>
      <c r="N56" s="148"/>
      <c r="O56" s="149"/>
      <c r="P56" s="52"/>
      <c r="Q56" s="469"/>
    </row>
    <row r="57" spans="1:21" s="51" customFormat="1" ht="14.25" customHeight="1">
      <c r="A57" s="49"/>
      <c r="B57" s="163" t="s">
        <v>110</v>
      </c>
      <c r="C57" s="1526" t="str">
        <f>IF(F22&gt;0,F22,"")</f>
        <v/>
      </c>
      <c r="D57" s="1527"/>
      <c r="E57" s="1527"/>
      <c r="F57" s="1527"/>
      <c r="G57" s="1528"/>
      <c r="H57" s="911"/>
      <c r="I57" s="164"/>
      <c r="J57" s="585"/>
      <c r="K57" s="164"/>
      <c r="L57" s="620">
        <f>IFERROR(J57*(1+J61),"")</f>
        <v>0</v>
      </c>
      <c r="M57" s="165" t="str">
        <f t="shared" si="1"/>
        <v/>
      </c>
      <c r="N57" s="148"/>
      <c r="O57" s="149"/>
      <c r="P57" s="52"/>
    </row>
    <row r="58" spans="1:21" s="50" customFormat="1" ht="15" customHeight="1" thickBot="1">
      <c r="A58" s="62"/>
      <c r="C58" s="1520" t="s">
        <v>527</v>
      </c>
      <c r="D58" s="1521"/>
      <c r="E58" s="1521"/>
      <c r="F58" s="1521"/>
      <c r="G58" s="1529"/>
      <c r="H58" s="586">
        <f>SUM(H51:H57)</f>
        <v>0</v>
      </c>
      <c r="I58" s="166"/>
      <c r="J58" s="586">
        <f>SUM(J51:J57)</f>
        <v>0</v>
      </c>
      <c r="K58" s="166"/>
      <c r="L58" s="621">
        <f>SUM(L51:L57)</f>
        <v>0</v>
      </c>
      <c r="M58" s="156" t="str">
        <f t="shared" si="1"/>
        <v/>
      </c>
      <c r="P58" s="66"/>
      <c r="Q58" s="53"/>
    </row>
    <row r="59" spans="1:21" s="50" customFormat="1" ht="15" customHeight="1" thickTop="1">
      <c r="A59" s="62"/>
      <c r="C59" s="47"/>
      <c r="P59" s="66"/>
      <c r="Q59" s="53"/>
    </row>
    <row r="60" spans="1:21" s="50" customFormat="1" ht="14.25" customHeight="1" thickBot="1">
      <c r="A60" s="62"/>
      <c r="C60" s="47"/>
      <c r="P60" s="66"/>
      <c r="Q60" s="153"/>
    </row>
    <row r="61" spans="1:21" s="50" customFormat="1" ht="14.25" customHeight="1" thickBot="1">
      <c r="A61" s="62"/>
      <c r="B61" s="20" t="s">
        <v>495</v>
      </c>
      <c r="C61" s="20"/>
      <c r="D61" s="21"/>
      <c r="E61" s="21"/>
      <c r="F61" s="21"/>
      <c r="G61" s="688" t="s">
        <v>436</v>
      </c>
      <c r="H61" s="387"/>
      <c r="I61" s="612"/>
      <c r="J61" s="689"/>
      <c r="K61" s="47"/>
      <c r="L61" s="771" t="str">
        <f>IF((J42+J58&gt;0),(J42+J58)*J61,"")</f>
        <v/>
      </c>
      <c r="P61" s="66"/>
      <c r="Q61" s="792"/>
    </row>
    <row r="62" spans="1:21" s="50" customFormat="1" ht="14.25" customHeight="1">
      <c r="A62" s="62"/>
      <c r="C62" s="47"/>
      <c r="J62" s="848" t="str">
        <f>IF(J61&gt;0.02,"Hinweis: Risiken über 2 % sind zu begründen und mit Nachweisen zu belegen","")</f>
        <v/>
      </c>
      <c r="P62" s="66"/>
      <c r="Q62" s="792"/>
    </row>
    <row r="63" spans="1:21" s="50" customFormat="1" ht="14.25" customHeight="1">
      <c r="A63" s="62"/>
      <c r="C63" s="47"/>
      <c r="J63" s="623"/>
      <c r="P63" s="66"/>
      <c r="Q63" s="843"/>
      <c r="U63" s="914"/>
    </row>
    <row r="64" spans="1:21" ht="14.25" customHeight="1">
      <c r="A64" s="54"/>
      <c r="B64" s="55"/>
      <c r="C64" s="55"/>
      <c r="D64" s="55"/>
      <c r="E64" s="55"/>
      <c r="F64" s="55"/>
      <c r="G64" s="38"/>
      <c r="H64" s="38"/>
      <c r="I64" s="38"/>
      <c r="J64" s="38"/>
      <c r="K64" s="38"/>
      <c r="L64" s="38"/>
      <c r="M64" s="55"/>
      <c r="N64" s="55"/>
      <c r="O64" s="55"/>
      <c r="P64" s="1166"/>
      <c r="Q64" s="687"/>
    </row>
    <row r="65" spans="4:17" ht="15" thickBot="1"/>
    <row r="66" spans="4:17" ht="15" thickBot="1">
      <c r="D66" s="1370" t="s">
        <v>273</v>
      </c>
      <c r="E66" s="1371"/>
      <c r="F66" s="1371"/>
      <c r="G66" s="1371"/>
      <c r="H66" s="1371"/>
      <c r="I66" s="1371"/>
      <c r="J66" s="1371"/>
      <c r="K66" s="1371"/>
      <c r="L66" s="1372"/>
      <c r="Q66" s="61"/>
    </row>
    <row r="67" spans="4:17" ht="6.75" customHeight="1" thickBot="1"/>
    <row r="68" spans="4:17" ht="15" thickBot="1">
      <c r="D68" s="1370" t="s">
        <v>260</v>
      </c>
      <c r="E68" s="1371"/>
      <c r="F68" s="1371"/>
      <c r="G68" s="1371"/>
      <c r="H68" s="1371"/>
      <c r="I68" s="1371"/>
      <c r="J68" s="1371"/>
      <c r="K68" s="1371"/>
      <c r="L68" s="1372"/>
    </row>
  </sheetData>
  <sheetProtection algorithmName="SHA-512" hashValue="snh4dzkjOjl9WPZCVJilOdXTd+smoXdOSgqXjXScW7t/KtWEJ66Zf+1rrn7y/iYpkNyIB7QXjDsvBV/p631dmA==" saltValue="GaQubEFzR3A7tNuG+s1tUg==" spinCount="100000" sheet="1" objects="1" scenarios="1"/>
  <customSheetViews>
    <customSheetView guid="{CDDBAA41-0D3E-44AF-A85A-332C81A5DAE4}" showGridLines="0" fitToPage="1">
      <pane ySplit="4" topLeftCell="A41" activePane="bottomLeft" state="frozen"/>
      <selection pane="bottomLeft" activeCell="R65" sqref="R65"/>
      <pageMargins left="0.70866141732283472" right="0.70866141732283472" top="0.78740157480314965" bottom="0.78740157480314965" header="0.31496062992125984" footer="0.31496062992125984"/>
      <pageSetup paperSize="9" scale="78" orientation="portrait"/>
      <headerFooter>
        <oddHeader>&amp;C&amp;9Seite 4</oddHeader>
        <oddFooter>&amp;C&amp;8Verhandlungsunterlagen SGB XI&amp;R&amp;8Version Kostenträger Stand: 29.11.2018</oddFooter>
      </headerFooter>
    </customSheetView>
  </customSheetViews>
  <mergeCells count="45">
    <mergeCell ref="D66:L66"/>
    <mergeCell ref="D68:L68"/>
    <mergeCell ref="C57:G57"/>
    <mergeCell ref="C58:G58"/>
    <mergeCell ref="C56:G56"/>
    <mergeCell ref="C55:G55"/>
    <mergeCell ref="C54:G54"/>
    <mergeCell ref="C53:G53"/>
    <mergeCell ref="C52:G52"/>
    <mergeCell ref="C51:G51"/>
    <mergeCell ref="M46:M49"/>
    <mergeCell ref="O46:O49"/>
    <mergeCell ref="C41:G41"/>
    <mergeCell ref="C40:G40"/>
    <mergeCell ref="C42:G42"/>
    <mergeCell ref="C32:G32"/>
    <mergeCell ref="C33:G33"/>
    <mergeCell ref="C34:G34"/>
    <mergeCell ref="C39:G39"/>
    <mergeCell ref="C38:G38"/>
    <mergeCell ref="C37:G37"/>
    <mergeCell ref="C36:G36"/>
    <mergeCell ref="C35:G35"/>
    <mergeCell ref="F16:H16"/>
    <mergeCell ref="O27:O30"/>
    <mergeCell ref="F22:H22"/>
    <mergeCell ref="J22:K22"/>
    <mergeCell ref="M27:M30"/>
    <mergeCell ref="F18:H18"/>
    <mergeCell ref="I6:K6"/>
    <mergeCell ref="J20:K20"/>
    <mergeCell ref="A1:P1"/>
    <mergeCell ref="A2:P2"/>
    <mergeCell ref="A3:P3"/>
    <mergeCell ref="A4:P4"/>
    <mergeCell ref="C6:E6"/>
    <mergeCell ref="J10:K10"/>
    <mergeCell ref="J12:K12"/>
    <mergeCell ref="J14:K14"/>
    <mergeCell ref="J16:K16"/>
    <mergeCell ref="J18:K18"/>
    <mergeCell ref="F20:H20"/>
    <mergeCell ref="F10:H10"/>
    <mergeCell ref="F12:H12"/>
    <mergeCell ref="F14:H14"/>
  </mergeCells>
  <conditionalFormatting sqref="H42">
    <cfRule type="expression" dxfId="72" priority="2">
      <formula>$H$42=0</formula>
    </cfRule>
  </conditionalFormatting>
  <conditionalFormatting sqref="H58">
    <cfRule type="expression" dxfId="71" priority="1">
      <formula>$H$58=0</formula>
    </cfRule>
  </conditionalFormatting>
  <conditionalFormatting sqref="J42">
    <cfRule type="expression" dxfId="70" priority="7">
      <formula>$J$42=0</formula>
    </cfRule>
  </conditionalFormatting>
  <conditionalFormatting sqref="J58">
    <cfRule type="expression" dxfId="69" priority="6">
      <formula>$J$58=0</formula>
    </cfRule>
  </conditionalFormatting>
  <conditionalFormatting sqref="L32:L41">
    <cfRule type="cellIs" dxfId="68" priority="5" operator="equal">
      <formula>0</formula>
    </cfRule>
  </conditionalFormatting>
  <conditionalFormatting sqref="L42">
    <cfRule type="expression" dxfId="67" priority="10">
      <formula>$L$42=0</formula>
    </cfRule>
  </conditionalFormatting>
  <conditionalFormatting sqref="L51:L57">
    <cfRule type="cellIs" dxfId="66" priority="4" operator="equal">
      <formula>0</formula>
    </cfRule>
  </conditionalFormatting>
  <conditionalFormatting sqref="L58">
    <cfRule type="expression" dxfId="65" priority="8">
      <formula>$L$58=0</formula>
    </cfRule>
  </conditionalFormatting>
  <dataValidations disablePrompts="1" count="2">
    <dataValidation type="whole" operator="greaterThan" allowBlank="1" showInputMessage="1" showErrorMessage="1" errorTitle="Eingabemöglichkeit" error="nur ganze Zahlen (bitte kaufmännisch runden)" prompt="nur ganze Zahlen, kaufmännisch gerundet" sqref="H32:H41 J51:J57 J32:J41 H51:H57" xr:uid="{00000000-0002-0000-0600-000000000000}">
      <formula1>-1</formula1>
    </dataValidation>
    <dataValidation errorStyle="information" allowBlank="1" showInputMessage="1" showErrorMessage="1" errorTitle="Unternehmerrisiko" promptTitle="Unternehmerrisiko" prompt="siehe allgemeine Hinweise" sqref="J61" xr:uid="{00000000-0002-0000-0600-000001000000}"/>
  </dataValidations>
  <hyperlinks>
    <hyperlink ref="D66" location="'Anlage 1'!A1" display="Anlage 1" xr:uid="{00000000-0004-0000-0600-000000000000}"/>
    <hyperlink ref="D66:L66" location="Beförderung!A1" display="gehe weiter zu Beförderung" xr:uid="{00000000-0004-0000-0600-000001000000}"/>
    <hyperlink ref="D68" location="'Anlage 1'!A1" display="Anlage 1" xr:uid="{00000000-0004-0000-0600-000002000000}"/>
    <hyperlink ref="D68:L68" location="Forderung!A1" display="gehe weiter zu B_Forderung" xr:uid="{00000000-0004-0000-0600-000003000000}"/>
  </hyperlinks>
  <pageMargins left="0.70866141732283472" right="0.70866141732283472" top="0.78740157480314965" bottom="0.78740157480314965" header="0.31496062992125984" footer="0.31496062992125984"/>
  <pageSetup paperSize="9" scale="76" orientation="portrait"/>
  <headerFooter>
    <oddHeader>&amp;C&amp;9Seite 4</oddHeader>
    <oddFooter>&amp;L&amp;8Version: 21.11.2024&amp;C&amp;8Verhandlungsunterlagen TP/KZP SGB XI&amp;R&amp;8PSK vom 07.11.2024</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14</xdr:col>
                    <xdr:colOff>57150</xdr:colOff>
                    <xdr:row>32</xdr:row>
                    <xdr:rowOff>28575</xdr:rowOff>
                  </from>
                  <to>
                    <xdr:col>14</xdr:col>
                    <xdr:colOff>314325</xdr:colOff>
                    <xdr:row>33</xdr:row>
                    <xdr:rowOff>28575</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14</xdr:col>
                    <xdr:colOff>57150</xdr:colOff>
                    <xdr:row>33</xdr:row>
                    <xdr:rowOff>28575</xdr:rowOff>
                  </from>
                  <to>
                    <xdr:col>14</xdr:col>
                    <xdr:colOff>314325</xdr:colOff>
                    <xdr:row>34</xdr:row>
                    <xdr:rowOff>28575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14</xdr:col>
                    <xdr:colOff>57150</xdr:colOff>
                    <xdr:row>34</xdr:row>
                    <xdr:rowOff>28575</xdr:rowOff>
                  </from>
                  <to>
                    <xdr:col>14</xdr:col>
                    <xdr:colOff>314325</xdr:colOff>
                    <xdr:row>35</xdr:row>
                    <xdr:rowOff>28575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14</xdr:col>
                    <xdr:colOff>57150</xdr:colOff>
                    <xdr:row>35</xdr:row>
                    <xdr:rowOff>28575</xdr:rowOff>
                  </from>
                  <to>
                    <xdr:col>14</xdr:col>
                    <xdr:colOff>314325</xdr:colOff>
                    <xdr:row>36</xdr:row>
                    <xdr:rowOff>28575</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14</xdr:col>
                    <xdr:colOff>57150</xdr:colOff>
                    <xdr:row>36</xdr:row>
                    <xdr:rowOff>28575</xdr:rowOff>
                  </from>
                  <to>
                    <xdr:col>14</xdr:col>
                    <xdr:colOff>314325</xdr:colOff>
                    <xdr:row>37</xdr:row>
                    <xdr:rowOff>28575</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14</xdr:col>
                    <xdr:colOff>57150</xdr:colOff>
                    <xdr:row>37</xdr:row>
                    <xdr:rowOff>28575</xdr:rowOff>
                  </from>
                  <to>
                    <xdr:col>14</xdr:col>
                    <xdr:colOff>314325</xdr:colOff>
                    <xdr:row>38</xdr:row>
                    <xdr:rowOff>28575</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14</xdr:col>
                    <xdr:colOff>57150</xdr:colOff>
                    <xdr:row>38</xdr:row>
                    <xdr:rowOff>28575</xdr:rowOff>
                  </from>
                  <to>
                    <xdr:col>14</xdr:col>
                    <xdr:colOff>314325</xdr:colOff>
                    <xdr:row>39</xdr:row>
                    <xdr:rowOff>28575</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14</xdr:col>
                    <xdr:colOff>57150</xdr:colOff>
                    <xdr:row>39</xdr:row>
                    <xdr:rowOff>28575</xdr:rowOff>
                  </from>
                  <to>
                    <xdr:col>14</xdr:col>
                    <xdr:colOff>314325</xdr:colOff>
                    <xdr:row>40</xdr:row>
                    <xdr:rowOff>28575</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14</xdr:col>
                    <xdr:colOff>57150</xdr:colOff>
                    <xdr:row>40</xdr:row>
                    <xdr:rowOff>28575</xdr:rowOff>
                  </from>
                  <to>
                    <xdr:col>14</xdr:col>
                    <xdr:colOff>314325</xdr:colOff>
                    <xdr:row>41</xdr:row>
                    <xdr:rowOff>28575</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14</xdr:col>
                    <xdr:colOff>57150</xdr:colOff>
                    <xdr:row>50</xdr:row>
                    <xdr:rowOff>28575</xdr:rowOff>
                  </from>
                  <to>
                    <xdr:col>14</xdr:col>
                    <xdr:colOff>314325</xdr:colOff>
                    <xdr:row>51</xdr:row>
                    <xdr:rowOff>28575</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14</xdr:col>
                    <xdr:colOff>57150</xdr:colOff>
                    <xdr:row>51</xdr:row>
                    <xdr:rowOff>28575</xdr:rowOff>
                  </from>
                  <to>
                    <xdr:col>14</xdr:col>
                    <xdr:colOff>314325</xdr:colOff>
                    <xdr:row>52</xdr:row>
                    <xdr:rowOff>28575</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14</xdr:col>
                    <xdr:colOff>57150</xdr:colOff>
                    <xdr:row>52</xdr:row>
                    <xdr:rowOff>28575</xdr:rowOff>
                  </from>
                  <to>
                    <xdr:col>14</xdr:col>
                    <xdr:colOff>314325</xdr:colOff>
                    <xdr:row>53</xdr:row>
                    <xdr:rowOff>28575</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14</xdr:col>
                    <xdr:colOff>57150</xdr:colOff>
                    <xdr:row>53</xdr:row>
                    <xdr:rowOff>28575</xdr:rowOff>
                  </from>
                  <to>
                    <xdr:col>14</xdr:col>
                    <xdr:colOff>314325</xdr:colOff>
                    <xdr:row>54</xdr:row>
                    <xdr:rowOff>28575</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14</xdr:col>
                    <xdr:colOff>57150</xdr:colOff>
                    <xdr:row>54</xdr:row>
                    <xdr:rowOff>28575</xdr:rowOff>
                  </from>
                  <to>
                    <xdr:col>14</xdr:col>
                    <xdr:colOff>314325</xdr:colOff>
                    <xdr:row>55</xdr:row>
                    <xdr:rowOff>28575</xdr:rowOff>
                  </to>
                </anchor>
              </controlPr>
            </control>
          </mc:Choice>
        </mc:AlternateContent>
        <mc:AlternateContent xmlns:mc="http://schemas.openxmlformats.org/markup-compatibility/2006">
          <mc:Choice Requires="x14">
            <control shapeId="4115" r:id="rId17" name="Check Box 19">
              <controlPr defaultSize="0" autoFill="0" autoLine="0" autoPict="0">
                <anchor moveWithCells="1">
                  <from>
                    <xdr:col>14</xdr:col>
                    <xdr:colOff>57150</xdr:colOff>
                    <xdr:row>55</xdr:row>
                    <xdr:rowOff>28575</xdr:rowOff>
                  </from>
                  <to>
                    <xdr:col>14</xdr:col>
                    <xdr:colOff>314325</xdr:colOff>
                    <xdr:row>56</xdr:row>
                    <xdr:rowOff>28575</xdr:rowOff>
                  </to>
                </anchor>
              </controlPr>
            </control>
          </mc:Choice>
        </mc:AlternateContent>
        <mc:AlternateContent xmlns:mc="http://schemas.openxmlformats.org/markup-compatibility/2006">
          <mc:Choice Requires="x14">
            <control shapeId="4116" r:id="rId18" name="Check Box 20">
              <controlPr defaultSize="0" autoFill="0" autoLine="0" autoPict="0">
                <anchor moveWithCells="1">
                  <from>
                    <xdr:col>14</xdr:col>
                    <xdr:colOff>57150</xdr:colOff>
                    <xdr:row>56</xdr:row>
                    <xdr:rowOff>28575</xdr:rowOff>
                  </from>
                  <to>
                    <xdr:col>14</xdr:col>
                    <xdr:colOff>314325</xdr:colOff>
                    <xdr:row>57</xdr:row>
                    <xdr:rowOff>28575</xdr:rowOff>
                  </to>
                </anchor>
              </controlPr>
            </control>
          </mc:Choice>
        </mc:AlternateContent>
        <mc:AlternateContent xmlns:mc="http://schemas.openxmlformats.org/markup-compatibility/2006">
          <mc:Choice Requires="x14">
            <control shapeId="4117" r:id="rId19" name="Check Box 21">
              <controlPr defaultSize="0" autoFill="0" autoLine="0" autoPict="0">
                <anchor moveWithCells="1">
                  <from>
                    <xdr:col>14</xdr:col>
                    <xdr:colOff>57150</xdr:colOff>
                    <xdr:row>31</xdr:row>
                    <xdr:rowOff>28575</xdr:rowOff>
                  </from>
                  <to>
                    <xdr:col>14</xdr:col>
                    <xdr:colOff>314325</xdr:colOff>
                    <xdr:row>32</xdr:row>
                    <xdr:rowOff>28575</xdr:rowOff>
                  </to>
                </anchor>
              </controlPr>
            </control>
          </mc:Choice>
        </mc:AlternateContent>
        <mc:AlternateContent xmlns:mc="http://schemas.openxmlformats.org/markup-compatibility/2006">
          <mc:Choice Requires="x14">
            <control shapeId="4118" r:id="rId20" name="Check Box 22">
              <controlPr defaultSize="0" autoFill="0" autoLine="0" autoPict="0">
                <anchor moveWithCells="1">
                  <from>
                    <xdr:col>3</xdr:col>
                    <xdr:colOff>990600</xdr:colOff>
                    <xdr:row>11</xdr:row>
                    <xdr:rowOff>0</xdr:rowOff>
                  </from>
                  <to>
                    <xdr:col>3</xdr:col>
                    <xdr:colOff>990600</xdr:colOff>
                    <xdr:row>12</xdr:row>
                    <xdr:rowOff>0</xdr:rowOff>
                  </to>
                </anchor>
              </controlPr>
            </control>
          </mc:Choice>
        </mc:AlternateContent>
        <mc:AlternateContent xmlns:mc="http://schemas.openxmlformats.org/markup-compatibility/2006">
          <mc:Choice Requires="x14">
            <control shapeId="4119" r:id="rId21" name="Check Box 23">
              <controlPr defaultSize="0" autoFill="0" autoLine="0" autoPict="0">
                <anchor moveWithCells="1">
                  <from>
                    <xdr:col>3</xdr:col>
                    <xdr:colOff>990600</xdr:colOff>
                    <xdr:row>13</xdr:row>
                    <xdr:rowOff>0</xdr:rowOff>
                  </from>
                  <to>
                    <xdr:col>3</xdr:col>
                    <xdr:colOff>990600</xdr:colOff>
                    <xdr:row>14</xdr:row>
                    <xdr:rowOff>0</xdr:rowOff>
                  </to>
                </anchor>
              </controlPr>
            </control>
          </mc:Choice>
        </mc:AlternateContent>
        <mc:AlternateContent xmlns:mc="http://schemas.openxmlformats.org/markup-compatibility/2006">
          <mc:Choice Requires="x14">
            <control shapeId="4120" r:id="rId22" name="Check Box 24">
              <controlPr defaultSize="0" autoFill="0" autoLine="0" autoPict="0">
                <anchor moveWithCells="1">
                  <from>
                    <xdr:col>3</xdr:col>
                    <xdr:colOff>990600</xdr:colOff>
                    <xdr:row>15</xdr:row>
                    <xdr:rowOff>0</xdr:rowOff>
                  </from>
                  <to>
                    <xdr:col>3</xdr:col>
                    <xdr:colOff>990600</xdr:colOff>
                    <xdr:row>16</xdr:row>
                    <xdr:rowOff>0</xdr:rowOff>
                  </to>
                </anchor>
              </controlPr>
            </control>
          </mc:Choice>
        </mc:AlternateContent>
        <mc:AlternateContent xmlns:mc="http://schemas.openxmlformats.org/markup-compatibility/2006">
          <mc:Choice Requires="x14">
            <control shapeId="4121" r:id="rId23" name="Check Box 25">
              <controlPr defaultSize="0" autoFill="0" autoLine="0" autoPict="0">
                <anchor moveWithCells="1">
                  <from>
                    <xdr:col>3</xdr:col>
                    <xdr:colOff>990600</xdr:colOff>
                    <xdr:row>17</xdr:row>
                    <xdr:rowOff>0</xdr:rowOff>
                  </from>
                  <to>
                    <xdr:col>3</xdr:col>
                    <xdr:colOff>990600</xdr:colOff>
                    <xdr:row>18</xdr:row>
                    <xdr:rowOff>0</xdr:rowOff>
                  </to>
                </anchor>
              </controlPr>
            </control>
          </mc:Choice>
        </mc:AlternateContent>
        <mc:AlternateContent xmlns:mc="http://schemas.openxmlformats.org/markup-compatibility/2006">
          <mc:Choice Requires="x14">
            <control shapeId="4122" r:id="rId24" name="Check Box 26">
              <controlPr defaultSize="0" autoFill="0" autoLine="0" autoPict="0">
                <anchor moveWithCells="1">
                  <from>
                    <xdr:col>3</xdr:col>
                    <xdr:colOff>990600</xdr:colOff>
                    <xdr:row>19</xdr:row>
                    <xdr:rowOff>0</xdr:rowOff>
                  </from>
                  <to>
                    <xdr:col>3</xdr:col>
                    <xdr:colOff>990600</xdr:colOff>
                    <xdr:row>20</xdr:row>
                    <xdr:rowOff>9525</xdr:rowOff>
                  </to>
                </anchor>
              </controlPr>
            </control>
          </mc:Choice>
        </mc:AlternateContent>
        <mc:AlternateContent xmlns:mc="http://schemas.openxmlformats.org/markup-compatibility/2006">
          <mc:Choice Requires="x14">
            <control shapeId="4123" r:id="rId25" name="Check Box 27">
              <controlPr defaultSize="0" autoFill="0" autoLine="0" autoPict="0">
                <anchor moveWithCells="1">
                  <from>
                    <xdr:col>3</xdr:col>
                    <xdr:colOff>990600</xdr:colOff>
                    <xdr:row>21</xdr:row>
                    <xdr:rowOff>0</xdr:rowOff>
                  </from>
                  <to>
                    <xdr:col>3</xdr:col>
                    <xdr:colOff>990600</xdr:colOff>
                    <xdr:row>22</xdr:row>
                    <xdr:rowOff>0</xdr:rowOff>
                  </to>
                </anchor>
              </controlPr>
            </control>
          </mc:Choice>
        </mc:AlternateContent>
        <mc:AlternateContent xmlns:mc="http://schemas.openxmlformats.org/markup-compatibility/2006">
          <mc:Choice Requires="x14">
            <control shapeId="4124" r:id="rId26" name="Check Box 28">
              <controlPr defaultSize="0" autoFill="0" autoLine="0" autoPict="0">
                <anchor moveWithCells="1">
                  <from>
                    <xdr:col>9</xdr:col>
                    <xdr:colOff>38100</xdr:colOff>
                    <xdr:row>21</xdr:row>
                    <xdr:rowOff>0</xdr:rowOff>
                  </from>
                  <to>
                    <xdr:col>9</xdr:col>
                    <xdr:colOff>295275</xdr:colOff>
                    <xdr:row>22</xdr:row>
                    <xdr:rowOff>0</xdr:rowOff>
                  </to>
                </anchor>
              </controlPr>
            </control>
          </mc:Choice>
        </mc:AlternateContent>
        <mc:AlternateContent xmlns:mc="http://schemas.openxmlformats.org/markup-compatibility/2006">
          <mc:Choice Requires="x14">
            <control shapeId="4125" r:id="rId27" name="Check Box 29">
              <controlPr defaultSize="0" autoFill="0" autoLine="0" autoPict="0">
                <anchor moveWithCells="1">
                  <from>
                    <xdr:col>9</xdr:col>
                    <xdr:colOff>914400</xdr:colOff>
                    <xdr:row>20</xdr:row>
                    <xdr:rowOff>28575</xdr:rowOff>
                  </from>
                  <to>
                    <xdr:col>10</xdr:col>
                    <xdr:colOff>28575</xdr:colOff>
                    <xdr:row>21</xdr:row>
                    <xdr:rowOff>171450</xdr:rowOff>
                  </to>
                </anchor>
              </controlPr>
            </control>
          </mc:Choice>
        </mc:AlternateContent>
        <mc:AlternateContent xmlns:mc="http://schemas.openxmlformats.org/markup-compatibility/2006">
          <mc:Choice Requires="x14">
            <control shapeId="4127" r:id="rId28" name="Check Box 31">
              <controlPr defaultSize="0" autoFill="0" autoLine="0" autoPict="0">
                <anchor moveWithCells="1">
                  <from>
                    <xdr:col>3</xdr:col>
                    <xdr:colOff>914400</xdr:colOff>
                    <xdr:row>21</xdr:row>
                    <xdr:rowOff>0</xdr:rowOff>
                  </from>
                  <to>
                    <xdr:col>3</xdr:col>
                    <xdr:colOff>914400</xdr:colOff>
                    <xdr:row>22</xdr:row>
                    <xdr:rowOff>0</xdr:rowOff>
                  </to>
                </anchor>
              </controlPr>
            </control>
          </mc:Choice>
        </mc:AlternateContent>
        <mc:AlternateContent xmlns:mc="http://schemas.openxmlformats.org/markup-compatibility/2006">
          <mc:Choice Requires="x14">
            <control shapeId="4128" r:id="rId29" name="Check Box 32">
              <controlPr defaultSize="0" autoFill="0" autoLine="0" autoPict="0">
                <anchor moveWithCells="1">
                  <from>
                    <xdr:col>9</xdr:col>
                    <xdr:colOff>38100</xdr:colOff>
                    <xdr:row>19</xdr:row>
                    <xdr:rowOff>0</xdr:rowOff>
                  </from>
                  <to>
                    <xdr:col>9</xdr:col>
                    <xdr:colOff>295275</xdr:colOff>
                    <xdr:row>20</xdr:row>
                    <xdr:rowOff>9525</xdr:rowOff>
                  </to>
                </anchor>
              </controlPr>
            </control>
          </mc:Choice>
        </mc:AlternateContent>
        <mc:AlternateContent xmlns:mc="http://schemas.openxmlformats.org/markup-compatibility/2006">
          <mc:Choice Requires="x14">
            <control shapeId="4129" r:id="rId30" name="Check Box 33">
              <controlPr defaultSize="0" autoFill="0" autoLine="0" autoPict="0">
                <anchor moveWithCells="1">
                  <from>
                    <xdr:col>9</xdr:col>
                    <xdr:colOff>914400</xdr:colOff>
                    <xdr:row>18</xdr:row>
                    <xdr:rowOff>28575</xdr:rowOff>
                  </from>
                  <to>
                    <xdr:col>10</xdr:col>
                    <xdr:colOff>28575</xdr:colOff>
                    <xdr:row>20</xdr:row>
                    <xdr:rowOff>0</xdr:rowOff>
                  </to>
                </anchor>
              </controlPr>
            </control>
          </mc:Choice>
        </mc:AlternateContent>
        <mc:AlternateContent xmlns:mc="http://schemas.openxmlformats.org/markup-compatibility/2006">
          <mc:Choice Requires="x14">
            <control shapeId="4130" r:id="rId31" name="Check Box 34">
              <controlPr defaultSize="0" autoFill="0" autoLine="0" autoPict="0">
                <anchor moveWithCells="1">
                  <from>
                    <xdr:col>9</xdr:col>
                    <xdr:colOff>38100</xdr:colOff>
                    <xdr:row>17</xdr:row>
                    <xdr:rowOff>0</xdr:rowOff>
                  </from>
                  <to>
                    <xdr:col>9</xdr:col>
                    <xdr:colOff>295275</xdr:colOff>
                    <xdr:row>18</xdr:row>
                    <xdr:rowOff>0</xdr:rowOff>
                  </to>
                </anchor>
              </controlPr>
            </control>
          </mc:Choice>
        </mc:AlternateContent>
        <mc:AlternateContent xmlns:mc="http://schemas.openxmlformats.org/markup-compatibility/2006">
          <mc:Choice Requires="x14">
            <control shapeId="4131" r:id="rId32" name="Check Box 35">
              <controlPr defaultSize="0" autoFill="0" autoLine="0" autoPict="0">
                <anchor moveWithCells="1">
                  <from>
                    <xdr:col>9</xdr:col>
                    <xdr:colOff>914400</xdr:colOff>
                    <xdr:row>16</xdr:row>
                    <xdr:rowOff>28575</xdr:rowOff>
                  </from>
                  <to>
                    <xdr:col>10</xdr:col>
                    <xdr:colOff>28575</xdr:colOff>
                    <xdr:row>17</xdr:row>
                    <xdr:rowOff>171450</xdr:rowOff>
                  </to>
                </anchor>
              </controlPr>
            </control>
          </mc:Choice>
        </mc:AlternateContent>
        <mc:AlternateContent xmlns:mc="http://schemas.openxmlformats.org/markup-compatibility/2006">
          <mc:Choice Requires="x14">
            <control shapeId="4132" r:id="rId33" name="Check Box 36">
              <controlPr defaultSize="0" autoFill="0" autoLine="0" autoPict="0">
                <anchor moveWithCells="1">
                  <from>
                    <xdr:col>9</xdr:col>
                    <xdr:colOff>38100</xdr:colOff>
                    <xdr:row>15</xdr:row>
                    <xdr:rowOff>0</xdr:rowOff>
                  </from>
                  <to>
                    <xdr:col>9</xdr:col>
                    <xdr:colOff>295275</xdr:colOff>
                    <xdr:row>16</xdr:row>
                    <xdr:rowOff>0</xdr:rowOff>
                  </to>
                </anchor>
              </controlPr>
            </control>
          </mc:Choice>
        </mc:AlternateContent>
        <mc:AlternateContent xmlns:mc="http://schemas.openxmlformats.org/markup-compatibility/2006">
          <mc:Choice Requires="x14">
            <control shapeId="4133" r:id="rId34" name="Check Box 37">
              <controlPr defaultSize="0" autoFill="0" autoLine="0" autoPict="0">
                <anchor moveWithCells="1">
                  <from>
                    <xdr:col>9</xdr:col>
                    <xdr:colOff>914400</xdr:colOff>
                    <xdr:row>14</xdr:row>
                    <xdr:rowOff>28575</xdr:rowOff>
                  </from>
                  <to>
                    <xdr:col>10</xdr:col>
                    <xdr:colOff>28575</xdr:colOff>
                    <xdr:row>15</xdr:row>
                    <xdr:rowOff>171450</xdr:rowOff>
                  </to>
                </anchor>
              </controlPr>
            </control>
          </mc:Choice>
        </mc:AlternateContent>
        <mc:AlternateContent xmlns:mc="http://schemas.openxmlformats.org/markup-compatibility/2006">
          <mc:Choice Requires="x14">
            <control shapeId="4134" r:id="rId35" name="Check Box 38">
              <controlPr defaultSize="0" autoFill="0" autoLine="0" autoPict="0">
                <anchor moveWithCells="1">
                  <from>
                    <xdr:col>9</xdr:col>
                    <xdr:colOff>38100</xdr:colOff>
                    <xdr:row>13</xdr:row>
                    <xdr:rowOff>0</xdr:rowOff>
                  </from>
                  <to>
                    <xdr:col>9</xdr:col>
                    <xdr:colOff>295275</xdr:colOff>
                    <xdr:row>14</xdr:row>
                    <xdr:rowOff>0</xdr:rowOff>
                  </to>
                </anchor>
              </controlPr>
            </control>
          </mc:Choice>
        </mc:AlternateContent>
        <mc:AlternateContent xmlns:mc="http://schemas.openxmlformats.org/markup-compatibility/2006">
          <mc:Choice Requires="x14">
            <control shapeId="4135" r:id="rId36" name="Check Box 39">
              <controlPr defaultSize="0" autoFill="0" autoLine="0" autoPict="0">
                <anchor moveWithCells="1">
                  <from>
                    <xdr:col>9</xdr:col>
                    <xdr:colOff>914400</xdr:colOff>
                    <xdr:row>12</xdr:row>
                    <xdr:rowOff>28575</xdr:rowOff>
                  </from>
                  <to>
                    <xdr:col>10</xdr:col>
                    <xdr:colOff>28575</xdr:colOff>
                    <xdr:row>13</xdr:row>
                    <xdr:rowOff>171450</xdr:rowOff>
                  </to>
                </anchor>
              </controlPr>
            </control>
          </mc:Choice>
        </mc:AlternateContent>
        <mc:AlternateContent xmlns:mc="http://schemas.openxmlformats.org/markup-compatibility/2006">
          <mc:Choice Requires="x14">
            <control shapeId="4136" r:id="rId37" name="Check Box 40">
              <controlPr defaultSize="0" autoFill="0" autoLine="0" autoPict="0">
                <anchor moveWithCells="1">
                  <from>
                    <xdr:col>9</xdr:col>
                    <xdr:colOff>38100</xdr:colOff>
                    <xdr:row>11</xdr:row>
                    <xdr:rowOff>0</xdr:rowOff>
                  </from>
                  <to>
                    <xdr:col>9</xdr:col>
                    <xdr:colOff>295275</xdr:colOff>
                    <xdr:row>12</xdr:row>
                    <xdr:rowOff>0</xdr:rowOff>
                  </to>
                </anchor>
              </controlPr>
            </control>
          </mc:Choice>
        </mc:AlternateContent>
        <mc:AlternateContent xmlns:mc="http://schemas.openxmlformats.org/markup-compatibility/2006">
          <mc:Choice Requires="x14">
            <control shapeId="4137" r:id="rId38" name="Check Box 41">
              <controlPr defaultSize="0" autoFill="0" autoLine="0" autoPict="0">
                <anchor moveWithCells="1">
                  <from>
                    <xdr:col>9</xdr:col>
                    <xdr:colOff>914400</xdr:colOff>
                    <xdr:row>10</xdr:row>
                    <xdr:rowOff>28575</xdr:rowOff>
                  </from>
                  <to>
                    <xdr:col>10</xdr:col>
                    <xdr:colOff>28575</xdr:colOff>
                    <xdr:row>11</xdr:row>
                    <xdr:rowOff>171450</xdr:rowOff>
                  </to>
                </anchor>
              </controlPr>
            </control>
          </mc:Choice>
        </mc:AlternateContent>
        <mc:AlternateContent xmlns:mc="http://schemas.openxmlformats.org/markup-compatibility/2006">
          <mc:Choice Requires="x14">
            <control shapeId="4138" r:id="rId39" name="Check Box 42">
              <controlPr defaultSize="0" autoFill="0" autoLine="0" autoPict="0">
                <anchor moveWithCells="1">
                  <from>
                    <xdr:col>9</xdr:col>
                    <xdr:colOff>38100</xdr:colOff>
                    <xdr:row>9</xdr:row>
                    <xdr:rowOff>0</xdr:rowOff>
                  </from>
                  <to>
                    <xdr:col>9</xdr:col>
                    <xdr:colOff>295275</xdr:colOff>
                    <xdr:row>10</xdr:row>
                    <xdr:rowOff>0</xdr:rowOff>
                  </to>
                </anchor>
              </controlPr>
            </control>
          </mc:Choice>
        </mc:AlternateContent>
        <mc:AlternateContent xmlns:mc="http://schemas.openxmlformats.org/markup-compatibility/2006">
          <mc:Choice Requires="x14">
            <control shapeId="4139" r:id="rId40" name="Check Box 43">
              <controlPr defaultSize="0" autoFill="0" autoLine="0" autoPict="0">
                <anchor moveWithCells="1">
                  <from>
                    <xdr:col>9</xdr:col>
                    <xdr:colOff>914400</xdr:colOff>
                    <xdr:row>8</xdr:row>
                    <xdr:rowOff>28575</xdr:rowOff>
                  </from>
                  <to>
                    <xdr:col>10</xdr:col>
                    <xdr:colOff>28575</xdr:colOff>
                    <xdr:row>9</xdr:row>
                    <xdr:rowOff>171450</xdr:rowOff>
                  </to>
                </anchor>
              </controlPr>
            </control>
          </mc:Choice>
        </mc:AlternateContent>
        <mc:AlternateContent xmlns:mc="http://schemas.openxmlformats.org/markup-compatibility/2006">
          <mc:Choice Requires="x14">
            <control shapeId="4140" r:id="rId41" name="Check Box 44">
              <controlPr defaultSize="0" autoFill="0" autoLine="0" autoPict="0">
                <anchor moveWithCells="1">
                  <from>
                    <xdr:col>3</xdr:col>
                    <xdr:colOff>990600</xdr:colOff>
                    <xdr:row>19</xdr:row>
                    <xdr:rowOff>0</xdr:rowOff>
                  </from>
                  <to>
                    <xdr:col>3</xdr:col>
                    <xdr:colOff>990600</xdr:colOff>
                    <xdr:row>20</xdr:row>
                    <xdr:rowOff>9525</xdr:rowOff>
                  </to>
                </anchor>
              </controlPr>
            </control>
          </mc:Choice>
        </mc:AlternateContent>
        <mc:AlternateContent xmlns:mc="http://schemas.openxmlformats.org/markup-compatibility/2006">
          <mc:Choice Requires="x14">
            <control shapeId="4142" r:id="rId42" name="Check Box 46">
              <controlPr defaultSize="0" autoFill="0" autoLine="0" autoPict="0">
                <anchor moveWithCells="1">
                  <from>
                    <xdr:col>3</xdr:col>
                    <xdr:colOff>914400</xdr:colOff>
                    <xdr:row>19</xdr:row>
                    <xdr:rowOff>0</xdr:rowOff>
                  </from>
                  <to>
                    <xdr:col>3</xdr:col>
                    <xdr:colOff>914400</xdr:colOff>
                    <xdr:row>20</xdr:row>
                    <xdr:rowOff>9525</xdr:rowOff>
                  </to>
                </anchor>
              </controlPr>
            </control>
          </mc:Choice>
        </mc:AlternateContent>
        <mc:AlternateContent xmlns:mc="http://schemas.openxmlformats.org/markup-compatibility/2006">
          <mc:Choice Requires="x14">
            <control shapeId="4143" r:id="rId43" name="Check Box 47">
              <controlPr defaultSize="0" autoFill="0" autoLine="0" autoPict="0">
                <anchor moveWithCells="1">
                  <from>
                    <xdr:col>3</xdr:col>
                    <xdr:colOff>990600</xdr:colOff>
                    <xdr:row>17</xdr:row>
                    <xdr:rowOff>0</xdr:rowOff>
                  </from>
                  <to>
                    <xdr:col>3</xdr:col>
                    <xdr:colOff>990600</xdr:colOff>
                    <xdr:row>18</xdr:row>
                    <xdr:rowOff>0</xdr:rowOff>
                  </to>
                </anchor>
              </controlPr>
            </control>
          </mc:Choice>
        </mc:AlternateContent>
        <mc:AlternateContent xmlns:mc="http://schemas.openxmlformats.org/markup-compatibility/2006">
          <mc:Choice Requires="x14">
            <control shapeId="4145" r:id="rId44" name="Check Box 49">
              <controlPr defaultSize="0" autoFill="0" autoLine="0" autoPict="0">
                <anchor moveWithCells="1">
                  <from>
                    <xdr:col>3</xdr:col>
                    <xdr:colOff>914400</xdr:colOff>
                    <xdr:row>17</xdr:row>
                    <xdr:rowOff>0</xdr:rowOff>
                  </from>
                  <to>
                    <xdr:col>3</xdr:col>
                    <xdr:colOff>914400</xdr:colOff>
                    <xdr:row>18</xdr:row>
                    <xdr:rowOff>0</xdr:rowOff>
                  </to>
                </anchor>
              </controlPr>
            </control>
          </mc:Choice>
        </mc:AlternateContent>
        <mc:AlternateContent xmlns:mc="http://schemas.openxmlformats.org/markup-compatibility/2006">
          <mc:Choice Requires="x14">
            <control shapeId="4146" r:id="rId45" name="Check Box 50">
              <controlPr defaultSize="0" autoFill="0" autoLine="0" autoPict="0">
                <anchor moveWithCells="1">
                  <from>
                    <xdr:col>3</xdr:col>
                    <xdr:colOff>990600</xdr:colOff>
                    <xdr:row>15</xdr:row>
                    <xdr:rowOff>0</xdr:rowOff>
                  </from>
                  <to>
                    <xdr:col>3</xdr:col>
                    <xdr:colOff>990600</xdr:colOff>
                    <xdr:row>16</xdr:row>
                    <xdr:rowOff>0</xdr:rowOff>
                  </to>
                </anchor>
              </controlPr>
            </control>
          </mc:Choice>
        </mc:AlternateContent>
        <mc:AlternateContent xmlns:mc="http://schemas.openxmlformats.org/markup-compatibility/2006">
          <mc:Choice Requires="x14">
            <control shapeId="4148" r:id="rId46" name="Check Box 52">
              <controlPr defaultSize="0" autoFill="0" autoLine="0" autoPict="0">
                <anchor moveWithCells="1">
                  <from>
                    <xdr:col>3</xdr:col>
                    <xdr:colOff>914400</xdr:colOff>
                    <xdr:row>15</xdr:row>
                    <xdr:rowOff>0</xdr:rowOff>
                  </from>
                  <to>
                    <xdr:col>3</xdr:col>
                    <xdr:colOff>914400</xdr:colOff>
                    <xdr:row>16</xdr:row>
                    <xdr:rowOff>0</xdr:rowOff>
                  </to>
                </anchor>
              </controlPr>
            </control>
          </mc:Choice>
        </mc:AlternateContent>
        <mc:AlternateContent xmlns:mc="http://schemas.openxmlformats.org/markup-compatibility/2006">
          <mc:Choice Requires="x14">
            <control shapeId="4149" r:id="rId47" name="Check Box 53">
              <controlPr defaultSize="0" autoFill="0" autoLine="0" autoPict="0">
                <anchor moveWithCells="1">
                  <from>
                    <xdr:col>3</xdr:col>
                    <xdr:colOff>990600</xdr:colOff>
                    <xdr:row>13</xdr:row>
                    <xdr:rowOff>0</xdr:rowOff>
                  </from>
                  <to>
                    <xdr:col>3</xdr:col>
                    <xdr:colOff>990600</xdr:colOff>
                    <xdr:row>14</xdr:row>
                    <xdr:rowOff>0</xdr:rowOff>
                  </to>
                </anchor>
              </controlPr>
            </control>
          </mc:Choice>
        </mc:AlternateContent>
        <mc:AlternateContent xmlns:mc="http://schemas.openxmlformats.org/markup-compatibility/2006">
          <mc:Choice Requires="x14">
            <control shapeId="4151" r:id="rId48" name="Check Box 55">
              <controlPr defaultSize="0" autoFill="0" autoLine="0" autoPict="0">
                <anchor moveWithCells="1">
                  <from>
                    <xdr:col>3</xdr:col>
                    <xdr:colOff>914400</xdr:colOff>
                    <xdr:row>13</xdr:row>
                    <xdr:rowOff>0</xdr:rowOff>
                  </from>
                  <to>
                    <xdr:col>3</xdr:col>
                    <xdr:colOff>914400</xdr:colOff>
                    <xdr:row>14</xdr:row>
                    <xdr:rowOff>0</xdr:rowOff>
                  </to>
                </anchor>
              </controlPr>
            </control>
          </mc:Choice>
        </mc:AlternateContent>
        <mc:AlternateContent xmlns:mc="http://schemas.openxmlformats.org/markup-compatibility/2006">
          <mc:Choice Requires="x14">
            <control shapeId="4152" r:id="rId49" name="Check Box 56">
              <controlPr defaultSize="0" autoFill="0" autoLine="0" autoPict="0">
                <anchor moveWithCells="1">
                  <from>
                    <xdr:col>3</xdr:col>
                    <xdr:colOff>990600</xdr:colOff>
                    <xdr:row>11</xdr:row>
                    <xdr:rowOff>0</xdr:rowOff>
                  </from>
                  <to>
                    <xdr:col>3</xdr:col>
                    <xdr:colOff>990600</xdr:colOff>
                    <xdr:row>12</xdr:row>
                    <xdr:rowOff>0</xdr:rowOff>
                  </to>
                </anchor>
              </controlPr>
            </control>
          </mc:Choice>
        </mc:AlternateContent>
        <mc:AlternateContent xmlns:mc="http://schemas.openxmlformats.org/markup-compatibility/2006">
          <mc:Choice Requires="x14">
            <control shapeId="4153" r:id="rId50" name="Check Box 57">
              <controlPr defaultSize="0" autoFill="0" autoLine="0" autoPict="0">
                <anchor moveWithCells="1">
                  <from>
                    <xdr:col>3</xdr:col>
                    <xdr:colOff>38100</xdr:colOff>
                    <xdr:row>11</xdr:row>
                    <xdr:rowOff>0</xdr:rowOff>
                  </from>
                  <to>
                    <xdr:col>3</xdr:col>
                    <xdr:colOff>295275</xdr:colOff>
                    <xdr:row>12</xdr:row>
                    <xdr:rowOff>0</xdr:rowOff>
                  </to>
                </anchor>
              </controlPr>
            </control>
          </mc:Choice>
        </mc:AlternateContent>
        <mc:AlternateContent xmlns:mc="http://schemas.openxmlformats.org/markup-compatibility/2006">
          <mc:Choice Requires="x14">
            <control shapeId="4154" r:id="rId51" name="Check Box 58">
              <controlPr defaultSize="0" autoFill="0" autoLine="0" autoPict="0">
                <anchor moveWithCells="1">
                  <from>
                    <xdr:col>3</xdr:col>
                    <xdr:colOff>914400</xdr:colOff>
                    <xdr:row>11</xdr:row>
                    <xdr:rowOff>0</xdr:rowOff>
                  </from>
                  <to>
                    <xdr:col>3</xdr:col>
                    <xdr:colOff>914400</xdr:colOff>
                    <xdr:row>12</xdr:row>
                    <xdr:rowOff>0</xdr:rowOff>
                  </to>
                </anchor>
              </controlPr>
            </control>
          </mc:Choice>
        </mc:AlternateContent>
        <mc:AlternateContent xmlns:mc="http://schemas.openxmlformats.org/markup-compatibility/2006">
          <mc:Choice Requires="x14">
            <control shapeId="4155" r:id="rId52" name="Check Box 59">
              <controlPr defaultSize="0" autoFill="0" autoLine="0" autoPict="0">
                <anchor moveWithCells="1">
                  <from>
                    <xdr:col>3</xdr:col>
                    <xdr:colOff>990600</xdr:colOff>
                    <xdr:row>9</xdr:row>
                    <xdr:rowOff>0</xdr:rowOff>
                  </from>
                  <to>
                    <xdr:col>3</xdr:col>
                    <xdr:colOff>990600</xdr:colOff>
                    <xdr:row>10</xdr:row>
                    <xdr:rowOff>0</xdr:rowOff>
                  </to>
                </anchor>
              </controlPr>
            </control>
          </mc:Choice>
        </mc:AlternateContent>
        <mc:AlternateContent xmlns:mc="http://schemas.openxmlformats.org/markup-compatibility/2006">
          <mc:Choice Requires="x14">
            <control shapeId="4156" r:id="rId53" name="Check Box 60">
              <controlPr defaultSize="0" autoFill="0" autoLine="0" autoPict="0">
                <anchor moveWithCells="1">
                  <from>
                    <xdr:col>3</xdr:col>
                    <xdr:colOff>38100</xdr:colOff>
                    <xdr:row>9</xdr:row>
                    <xdr:rowOff>0</xdr:rowOff>
                  </from>
                  <to>
                    <xdr:col>3</xdr:col>
                    <xdr:colOff>295275</xdr:colOff>
                    <xdr:row>10</xdr:row>
                    <xdr:rowOff>0</xdr:rowOff>
                  </to>
                </anchor>
              </controlPr>
            </control>
          </mc:Choice>
        </mc:AlternateContent>
        <mc:AlternateContent xmlns:mc="http://schemas.openxmlformats.org/markup-compatibility/2006">
          <mc:Choice Requires="x14">
            <control shapeId="4157" r:id="rId54" name="Check Box 61">
              <controlPr defaultSize="0" autoFill="0" autoLine="0" autoPict="0">
                <anchor moveWithCells="1">
                  <from>
                    <xdr:col>3</xdr:col>
                    <xdr:colOff>914400</xdr:colOff>
                    <xdr:row>9</xdr:row>
                    <xdr:rowOff>0</xdr:rowOff>
                  </from>
                  <to>
                    <xdr:col>3</xdr:col>
                    <xdr:colOff>914400</xdr:colOff>
                    <xdr:row>10</xdr:row>
                    <xdr:rowOff>0</xdr:rowOff>
                  </to>
                </anchor>
              </controlPr>
            </control>
          </mc:Choice>
        </mc:AlternateContent>
        <mc:AlternateContent xmlns:mc="http://schemas.openxmlformats.org/markup-compatibility/2006">
          <mc:Choice Requires="x14">
            <control shapeId="4160" r:id="rId55" name="Check Box 64">
              <controlPr defaultSize="0" autoFill="0" autoLine="0" autoPict="0">
                <anchor moveWithCells="1">
                  <from>
                    <xdr:col>3</xdr:col>
                    <xdr:colOff>914400</xdr:colOff>
                    <xdr:row>9</xdr:row>
                    <xdr:rowOff>0</xdr:rowOff>
                  </from>
                  <to>
                    <xdr:col>4</xdr:col>
                    <xdr:colOff>66675</xdr:colOff>
                    <xdr:row>10</xdr:row>
                    <xdr:rowOff>0</xdr:rowOff>
                  </to>
                </anchor>
              </controlPr>
            </control>
          </mc:Choice>
        </mc:AlternateContent>
        <mc:AlternateContent xmlns:mc="http://schemas.openxmlformats.org/markup-compatibility/2006">
          <mc:Choice Requires="x14">
            <control shapeId="4161" r:id="rId56" name="Check Box 65">
              <controlPr defaultSize="0" autoFill="0" autoLine="0" autoPict="0">
                <anchor moveWithCells="1">
                  <from>
                    <xdr:col>3</xdr:col>
                    <xdr:colOff>990600</xdr:colOff>
                    <xdr:row>11</xdr:row>
                    <xdr:rowOff>0</xdr:rowOff>
                  </from>
                  <to>
                    <xdr:col>3</xdr:col>
                    <xdr:colOff>990600</xdr:colOff>
                    <xdr:row>12</xdr:row>
                    <xdr:rowOff>0</xdr:rowOff>
                  </to>
                </anchor>
              </controlPr>
            </control>
          </mc:Choice>
        </mc:AlternateContent>
        <mc:AlternateContent xmlns:mc="http://schemas.openxmlformats.org/markup-compatibility/2006">
          <mc:Choice Requires="x14">
            <control shapeId="4163" r:id="rId57" name="Check Box 67">
              <controlPr defaultSize="0" autoFill="0" autoLine="0" autoPict="0">
                <anchor moveWithCells="1">
                  <from>
                    <xdr:col>3</xdr:col>
                    <xdr:colOff>914400</xdr:colOff>
                    <xdr:row>11</xdr:row>
                    <xdr:rowOff>0</xdr:rowOff>
                  </from>
                  <to>
                    <xdr:col>3</xdr:col>
                    <xdr:colOff>914400</xdr:colOff>
                    <xdr:row>12</xdr:row>
                    <xdr:rowOff>0</xdr:rowOff>
                  </to>
                </anchor>
              </controlPr>
            </control>
          </mc:Choice>
        </mc:AlternateContent>
        <mc:AlternateContent xmlns:mc="http://schemas.openxmlformats.org/markup-compatibility/2006">
          <mc:Choice Requires="x14">
            <control shapeId="4164" r:id="rId58" name="Check Box 68">
              <controlPr defaultSize="0" autoFill="0" autoLine="0" autoPict="0">
                <anchor moveWithCells="1">
                  <from>
                    <xdr:col>3</xdr:col>
                    <xdr:colOff>914400</xdr:colOff>
                    <xdr:row>11</xdr:row>
                    <xdr:rowOff>0</xdr:rowOff>
                  </from>
                  <to>
                    <xdr:col>4</xdr:col>
                    <xdr:colOff>66675</xdr:colOff>
                    <xdr:row>12</xdr:row>
                    <xdr:rowOff>0</xdr:rowOff>
                  </to>
                </anchor>
              </controlPr>
            </control>
          </mc:Choice>
        </mc:AlternateContent>
        <mc:AlternateContent xmlns:mc="http://schemas.openxmlformats.org/markup-compatibility/2006">
          <mc:Choice Requires="x14">
            <control shapeId="4165" r:id="rId59" name="Check Box 69">
              <controlPr defaultSize="0" autoFill="0" autoLine="0" autoPict="0">
                <anchor moveWithCells="1">
                  <from>
                    <xdr:col>3</xdr:col>
                    <xdr:colOff>990600</xdr:colOff>
                    <xdr:row>13</xdr:row>
                    <xdr:rowOff>0</xdr:rowOff>
                  </from>
                  <to>
                    <xdr:col>3</xdr:col>
                    <xdr:colOff>990600</xdr:colOff>
                    <xdr:row>14</xdr:row>
                    <xdr:rowOff>0</xdr:rowOff>
                  </to>
                </anchor>
              </controlPr>
            </control>
          </mc:Choice>
        </mc:AlternateContent>
        <mc:AlternateContent xmlns:mc="http://schemas.openxmlformats.org/markup-compatibility/2006">
          <mc:Choice Requires="x14">
            <control shapeId="4166" r:id="rId60" name="Check Box 70">
              <controlPr defaultSize="0" autoFill="0" autoLine="0" autoPict="0">
                <anchor moveWithCells="1">
                  <from>
                    <xdr:col>3</xdr:col>
                    <xdr:colOff>990600</xdr:colOff>
                    <xdr:row>13</xdr:row>
                    <xdr:rowOff>0</xdr:rowOff>
                  </from>
                  <to>
                    <xdr:col>3</xdr:col>
                    <xdr:colOff>990600</xdr:colOff>
                    <xdr:row>14</xdr:row>
                    <xdr:rowOff>0</xdr:rowOff>
                  </to>
                </anchor>
              </controlPr>
            </control>
          </mc:Choice>
        </mc:AlternateContent>
        <mc:AlternateContent xmlns:mc="http://schemas.openxmlformats.org/markup-compatibility/2006">
          <mc:Choice Requires="x14">
            <control shapeId="4167" r:id="rId61" name="Check Box 71">
              <controlPr defaultSize="0" autoFill="0" autoLine="0" autoPict="0">
                <anchor moveWithCells="1">
                  <from>
                    <xdr:col>3</xdr:col>
                    <xdr:colOff>38100</xdr:colOff>
                    <xdr:row>13</xdr:row>
                    <xdr:rowOff>0</xdr:rowOff>
                  </from>
                  <to>
                    <xdr:col>3</xdr:col>
                    <xdr:colOff>295275</xdr:colOff>
                    <xdr:row>14</xdr:row>
                    <xdr:rowOff>0</xdr:rowOff>
                  </to>
                </anchor>
              </controlPr>
            </control>
          </mc:Choice>
        </mc:AlternateContent>
        <mc:AlternateContent xmlns:mc="http://schemas.openxmlformats.org/markup-compatibility/2006">
          <mc:Choice Requires="x14">
            <control shapeId="4168" r:id="rId62" name="Check Box 72">
              <controlPr defaultSize="0" autoFill="0" autoLine="0" autoPict="0">
                <anchor moveWithCells="1">
                  <from>
                    <xdr:col>3</xdr:col>
                    <xdr:colOff>914400</xdr:colOff>
                    <xdr:row>13</xdr:row>
                    <xdr:rowOff>0</xdr:rowOff>
                  </from>
                  <to>
                    <xdr:col>3</xdr:col>
                    <xdr:colOff>914400</xdr:colOff>
                    <xdr:row>14</xdr:row>
                    <xdr:rowOff>0</xdr:rowOff>
                  </to>
                </anchor>
              </controlPr>
            </control>
          </mc:Choice>
        </mc:AlternateContent>
        <mc:AlternateContent xmlns:mc="http://schemas.openxmlformats.org/markup-compatibility/2006">
          <mc:Choice Requires="x14">
            <control shapeId="4169" r:id="rId63" name="Check Box 73">
              <controlPr defaultSize="0" autoFill="0" autoLine="0" autoPict="0">
                <anchor moveWithCells="1">
                  <from>
                    <xdr:col>3</xdr:col>
                    <xdr:colOff>990600</xdr:colOff>
                    <xdr:row>13</xdr:row>
                    <xdr:rowOff>0</xdr:rowOff>
                  </from>
                  <to>
                    <xdr:col>3</xdr:col>
                    <xdr:colOff>990600</xdr:colOff>
                    <xdr:row>14</xdr:row>
                    <xdr:rowOff>0</xdr:rowOff>
                  </to>
                </anchor>
              </controlPr>
            </control>
          </mc:Choice>
        </mc:AlternateContent>
        <mc:AlternateContent xmlns:mc="http://schemas.openxmlformats.org/markup-compatibility/2006">
          <mc:Choice Requires="x14">
            <control shapeId="4170" r:id="rId64" name="Check Box 74">
              <controlPr defaultSize="0" autoFill="0" autoLine="0" autoPict="0">
                <anchor moveWithCells="1">
                  <from>
                    <xdr:col>3</xdr:col>
                    <xdr:colOff>914400</xdr:colOff>
                    <xdr:row>13</xdr:row>
                    <xdr:rowOff>0</xdr:rowOff>
                  </from>
                  <to>
                    <xdr:col>3</xdr:col>
                    <xdr:colOff>914400</xdr:colOff>
                    <xdr:row>14</xdr:row>
                    <xdr:rowOff>0</xdr:rowOff>
                  </to>
                </anchor>
              </controlPr>
            </control>
          </mc:Choice>
        </mc:AlternateContent>
        <mc:AlternateContent xmlns:mc="http://schemas.openxmlformats.org/markup-compatibility/2006">
          <mc:Choice Requires="x14">
            <control shapeId="4171" r:id="rId65" name="Check Box 75">
              <controlPr defaultSize="0" autoFill="0" autoLine="0" autoPict="0">
                <anchor moveWithCells="1">
                  <from>
                    <xdr:col>3</xdr:col>
                    <xdr:colOff>914400</xdr:colOff>
                    <xdr:row>13</xdr:row>
                    <xdr:rowOff>0</xdr:rowOff>
                  </from>
                  <to>
                    <xdr:col>4</xdr:col>
                    <xdr:colOff>66675</xdr:colOff>
                    <xdr:row>14</xdr:row>
                    <xdr:rowOff>0</xdr:rowOff>
                  </to>
                </anchor>
              </controlPr>
            </control>
          </mc:Choice>
        </mc:AlternateContent>
        <mc:AlternateContent xmlns:mc="http://schemas.openxmlformats.org/markup-compatibility/2006">
          <mc:Choice Requires="x14">
            <control shapeId="4172" r:id="rId66" name="Check Box 76">
              <controlPr defaultSize="0" autoFill="0" autoLine="0" autoPict="0">
                <anchor moveWithCells="1">
                  <from>
                    <xdr:col>3</xdr:col>
                    <xdr:colOff>990600</xdr:colOff>
                    <xdr:row>15</xdr:row>
                    <xdr:rowOff>0</xdr:rowOff>
                  </from>
                  <to>
                    <xdr:col>3</xdr:col>
                    <xdr:colOff>990600</xdr:colOff>
                    <xdr:row>16</xdr:row>
                    <xdr:rowOff>0</xdr:rowOff>
                  </to>
                </anchor>
              </controlPr>
            </control>
          </mc:Choice>
        </mc:AlternateContent>
        <mc:AlternateContent xmlns:mc="http://schemas.openxmlformats.org/markup-compatibility/2006">
          <mc:Choice Requires="x14">
            <control shapeId="4173" r:id="rId67" name="Check Box 77">
              <controlPr defaultSize="0" autoFill="0" autoLine="0" autoPict="0">
                <anchor moveWithCells="1">
                  <from>
                    <xdr:col>3</xdr:col>
                    <xdr:colOff>990600</xdr:colOff>
                    <xdr:row>15</xdr:row>
                    <xdr:rowOff>0</xdr:rowOff>
                  </from>
                  <to>
                    <xdr:col>3</xdr:col>
                    <xdr:colOff>990600</xdr:colOff>
                    <xdr:row>16</xdr:row>
                    <xdr:rowOff>0</xdr:rowOff>
                  </to>
                </anchor>
              </controlPr>
            </control>
          </mc:Choice>
        </mc:AlternateContent>
        <mc:AlternateContent xmlns:mc="http://schemas.openxmlformats.org/markup-compatibility/2006">
          <mc:Choice Requires="x14">
            <control shapeId="4174" r:id="rId68" name="Check Box 78">
              <controlPr defaultSize="0" autoFill="0" autoLine="0" autoPict="0">
                <anchor moveWithCells="1">
                  <from>
                    <xdr:col>3</xdr:col>
                    <xdr:colOff>38100</xdr:colOff>
                    <xdr:row>15</xdr:row>
                    <xdr:rowOff>0</xdr:rowOff>
                  </from>
                  <to>
                    <xdr:col>3</xdr:col>
                    <xdr:colOff>295275</xdr:colOff>
                    <xdr:row>16</xdr:row>
                    <xdr:rowOff>0</xdr:rowOff>
                  </to>
                </anchor>
              </controlPr>
            </control>
          </mc:Choice>
        </mc:AlternateContent>
        <mc:AlternateContent xmlns:mc="http://schemas.openxmlformats.org/markup-compatibility/2006">
          <mc:Choice Requires="x14">
            <control shapeId="4175" r:id="rId69" name="Check Box 79">
              <controlPr defaultSize="0" autoFill="0" autoLine="0" autoPict="0">
                <anchor moveWithCells="1">
                  <from>
                    <xdr:col>3</xdr:col>
                    <xdr:colOff>914400</xdr:colOff>
                    <xdr:row>15</xdr:row>
                    <xdr:rowOff>0</xdr:rowOff>
                  </from>
                  <to>
                    <xdr:col>3</xdr:col>
                    <xdr:colOff>914400</xdr:colOff>
                    <xdr:row>16</xdr:row>
                    <xdr:rowOff>0</xdr:rowOff>
                  </to>
                </anchor>
              </controlPr>
            </control>
          </mc:Choice>
        </mc:AlternateContent>
        <mc:AlternateContent xmlns:mc="http://schemas.openxmlformats.org/markup-compatibility/2006">
          <mc:Choice Requires="x14">
            <control shapeId="4176" r:id="rId70" name="Check Box 80">
              <controlPr defaultSize="0" autoFill="0" autoLine="0" autoPict="0">
                <anchor moveWithCells="1">
                  <from>
                    <xdr:col>3</xdr:col>
                    <xdr:colOff>990600</xdr:colOff>
                    <xdr:row>15</xdr:row>
                    <xdr:rowOff>0</xdr:rowOff>
                  </from>
                  <to>
                    <xdr:col>3</xdr:col>
                    <xdr:colOff>990600</xdr:colOff>
                    <xdr:row>16</xdr:row>
                    <xdr:rowOff>0</xdr:rowOff>
                  </to>
                </anchor>
              </controlPr>
            </control>
          </mc:Choice>
        </mc:AlternateContent>
        <mc:AlternateContent xmlns:mc="http://schemas.openxmlformats.org/markup-compatibility/2006">
          <mc:Choice Requires="x14">
            <control shapeId="4177" r:id="rId71" name="Check Box 81">
              <controlPr defaultSize="0" autoFill="0" autoLine="0" autoPict="0">
                <anchor moveWithCells="1">
                  <from>
                    <xdr:col>3</xdr:col>
                    <xdr:colOff>914400</xdr:colOff>
                    <xdr:row>15</xdr:row>
                    <xdr:rowOff>0</xdr:rowOff>
                  </from>
                  <to>
                    <xdr:col>3</xdr:col>
                    <xdr:colOff>914400</xdr:colOff>
                    <xdr:row>16</xdr:row>
                    <xdr:rowOff>0</xdr:rowOff>
                  </to>
                </anchor>
              </controlPr>
            </control>
          </mc:Choice>
        </mc:AlternateContent>
        <mc:AlternateContent xmlns:mc="http://schemas.openxmlformats.org/markup-compatibility/2006">
          <mc:Choice Requires="x14">
            <control shapeId="4178" r:id="rId72" name="Check Box 82">
              <controlPr defaultSize="0" autoFill="0" autoLine="0" autoPict="0">
                <anchor moveWithCells="1">
                  <from>
                    <xdr:col>3</xdr:col>
                    <xdr:colOff>914400</xdr:colOff>
                    <xdr:row>15</xdr:row>
                    <xdr:rowOff>0</xdr:rowOff>
                  </from>
                  <to>
                    <xdr:col>4</xdr:col>
                    <xdr:colOff>66675</xdr:colOff>
                    <xdr:row>16</xdr:row>
                    <xdr:rowOff>0</xdr:rowOff>
                  </to>
                </anchor>
              </controlPr>
            </control>
          </mc:Choice>
        </mc:AlternateContent>
        <mc:AlternateContent xmlns:mc="http://schemas.openxmlformats.org/markup-compatibility/2006">
          <mc:Choice Requires="x14">
            <control shapeId="4179" r:id="rId73" name="Check Box 83">
              <controlPr defaultSize="0" autoFill="0" autoLine="0" autoPict="0">
                <anchor moveWithCells="1">
                  <from>
                    <xdr:col>3</xdr:col>
                    <xdr:colOff>990600</xdr:colOff>
                    <xdr:row>17</xdr:row>
                    <xdr:rowOff>0</xdr:rowOff>
                  </from>
                  <to>
                    <xdr:col>3</xdr:col>
                    <xdr:colOff>990600</xdr:colOff>
                    <xdr:row>18</xdr:row>
                    <xdr:rowOff>0</xdr:rowOff>
                  </to>
                </anchor>
              </controlPr>
            </control>
          </mc:Choice>
        </mc:AlternateContent>
        <mc:AlternateContent xmlns:mc="http://schemas.openxmlformats.org/markup-compatibility/2006">
          <mc:Choice Requires="x14">
            <control shapeId="4180" r:id="rId74" name="Check Box 84">
              <controlPr defaultSize="0" autoFill="0" autoLine="0" autoPict="0">
                <anchor moveWithCells="1">
                  <from>
                    <xdr:col>3</xdr:col>
                    <xdr:colOff>990600</xdr:colOff>
                    <xdr:row>17</xdr:row>
                    <xdr:rowOff>0</xdr:rowOff>
                  </from>
                  <to>
                    <xdr:col>3</xdr:col>
                    <xdr:colOff>990600</xdr:colOff>
                    <xdr:row>18</xdr:row>
                    <xdr:rowOff>0</xdr:rowOff>
                  </to>
                </anchor>
              </controlPr>
            </control>
          </mc:Choice>
        </mc:AlternateContent>
        <mc:AlternateContent xmlns:mc="http://schemas.openxmlformats.org/markup-compatibility/2006">
          <mc:Choice Requires="x14">
            <control shapeId="4181" r:id="rId75" name="Check Box 85">
              <controlPr defaultSize="0" autoFill="0" autoLine="0" autoPict="0">
                <anchor moveWithCells="1">
                  <from>
                    <xdr:col>3</xdr:col>
                    <xdr:colOff>38100</xdr:colOff>
                    <xdr:row>17</xdr:row>
                    <xdr:rowOff>0</xdr:rowOff>
                  </from>
                  <to>
                    <xdr:col>3</xdr:col>
                    <xdr:colOff>295275</xdr:colOff>
                    <xdr:row>18</xdr:row>
                    <xdr:rowOff>0</xdr:rowOff>
                  </to>
                </anchor>
              </controlPr>
            </control>
          </mc:Choice>
        </mc:AlternateContent>
        <mc:AlternateContent xmlns:mc="http://schemas.openxmlformats.org/markup-compatibility/2006">
          <mc:Choice Requires="x14">
            <control shapeId="4182" r:id="rId76" name="Check Box 86">
              <controlPr defaultSize="0" autoFill="0" autoLine="0" autoPict="0">
                <anchor moveWithCells="1">
                  <from>
                    <xdr:col>3</xdr:col>
                    <xdr:colOff>914400</xdr:colOff>
                    <xdr:row>17</xdr:row>
                    <xdr:rowOff>0</xdr:rowOff>
                  </from>
                  <to>
                    <xdr:col>3</xdr:col>
                    <xdr:colOff>914400</xdr:colOff>
                    <xdr:row>18</xdr:row>
                    <xdr:rowOff>0</xdr:rowOff>
                  </to>
                </anchor>
              </controlPr>
            </control>
          </mc:Choice>
        </mc:AlternateContent>
        <mc:AlternateContent xmlns:mc="http://schemas.openxmlformats.org/markup-compatibility/2006">
          <mc:Choice Requires="x14">
            <control shapeId="4183" r:id="rId77" name="Check Box 87">
              <controlPr defaultSize="0" autoFill="0" autoLine="0" autoPict="0">
                <anchor moveWithCells="1">
                  <from>
                    <xdr:col>3</xdr:col>
                    <xdr:colOff>990600</xdr:colOff>
                    <xdr:row>17</xdr:row>
                    <xdr:rowOff>0</xdr:rowOff>
                  </from>
                  <to>
                    <xdr:col>3</xdr:col>
                    <xdr:colOff>990600</xdr:colOff>
                    <xdr:row>18</xdr:row>
                    <xdr:rowOff>0</xdr:rowOff>
                  </to>
                </anchor>
              </controlPr>
            </control>
          </mc:Choice>
        </mc:AlternateContent>
        <mc:AlternateContent xmlns:mc="http://schemas.openxmlformats.org/markup-compatibility/2006">
          <mc:Choice Requires="x14">
            <control shapeId="4184" r:id="rId78" name="Check Box 88">
              <controlPr defaultSize="0" autoFill="0" autoLine="0" autoPict="0">
                <anchor moveWithCells="1">
                  <from>
                    <xdr:col>3</xdr:col>
                    <xdr:colOff>914400</xdr:colOff>
                    <xdr:row>17</xdr:row>
                    <xdr:rowOff>0</xdr:rowOff>
                  </from>
                  <to>
                    <xdr:col>3</xdr:col>
                    <xdr:colOff>914400</xdr:colOff>
                    <xdr:row>18</xdr:row>
                    <xdr:rowOff>0</xdr:rowOff>
                  </to>
                </anchor>
              </controlPr>
            </control>
          </mc:Choice>
        </mc:AlternateContent>
        <mc:AlternateContent xmlns:mc="http://schemas.openxmlformats.org/markup-compatibility/2006">
          <mc:Choice Requires="x14">
            <control shapeId="4185" r:id="rId79" name="Check Box 89">
              <controlPr defaultSize="0" autoFill="0" autoLine="0" autoPict="0">
                <anchor moveWithCells="1">
                  <from>
                    <xdr:col>3</xdr:col>
                    <xdr:colOff>914400</xdr:colOff>
                    <xdr:row>17</xdr:row>
                    <xdr:rowOff>0</xdr:rowOff>
                  </from>
                  <to>
                    <xdr:col>4</xdr:col>
                    <xdr:colOff>66675</xdr:colOff>
                    <xdr:row>18</xdr:row>
                    <xdr:rowOff>0</xdr:rowOff>
                  </to>
                </anchor>
              </controlPr>
            </control>
          </mc:Choice>
        </mc:AlternateContent>
        <mc:AlternateContent xmlns:mc="http://schemas.openxmlformats.org/markup-compatibility/2006">
          <mc:Choice Requires="x14">
            <control shapeId="4186" r:id="rId80" name="Check Box 90">
              <controlPr defaultSize="0" autoFill="0" autoLine="0" autoPict="0">
                <anchor moveWithCells="1">
                  <from>
                    <xdr:col>3</xdr:col>
                    <xdr:colOff>990600</xdr:colOff>
                    <xdr:row>19</xdr:row>
                    <xdr:rowOff>0</xdr:rowOff>
                  </from>
                  <to>
                    <xdr:col>3</xdr:col>
                    <xdr:colOff>990600</xdr:colOff>
                    <xdr:row>20</xdr:row>
                    <xdr:rowOff>9525</xdr:rowOff>
                  </to>
                </anchor>
              </controlPr>
            </control>
          </mc:Choice>
        </mc:AlternateContent>
        <mc:AlternateContent xmlns:mc="http://schemas.openxmlformats.org/markup-compatibility/2006">
          <mc:Choice Requires="x14">
            <control shapeId="4187" r:id="rId81" name="Check Box 91">
              <controlPr defaultSize="0" autoFill="0" autoLine="0" autoPict="0">
                <anchor moveWithCells="1">
                  <from>
                    <xdr:col>3</xdr:col>
                    <xdr:colOff>990600</xdr:colOff>
                    <xdr:row>19</xdr:row>
                    <xdr:rowOff>0</xdr:rowOff>
                  </from>
                  <to>
                    <xdr:col>3</xdr:col>
                    <xdr:colOff>990600</xdr:colOff>
                    <xdr:row>20</xdr:row>
                    <xdr:rowOff>9525</xdr:rowOff>
                  </to>
                </anchor>
              </controlPr>
            </control>
          </mc:Choice>
        </mc:AlternateContent>
        <mc:AlternateContent xmlns:mc="http://schemas.openxmlformats.org/markup-compatibility/2006">
          <mc:Choice Requires="x14">
            <control shapeId="4188" r:id="rId82" name="Check Box 92">
              <controlPr defaultSize="0" autoFill="0" autoLine="0" autoPict="0">
                <anchor moveWithCells="1">
                  <from>
                    <xdr:col>3</xdr:col>
                    <xdr:colOff>38100</xdr:colOff>
                    <xdr:row>19</xdr:row>
                    <xdr:rowOff>0</xdr:rowOff>
                  </from>
                  <to>
                    <xdr:col>3</xdr:col>
                    <xdr:colOff>295275</xdr:colOff>
                    <xdr:row>20</xdr:row>
                    <xdr:rowOff>9525</xdr:rowOff>
                  </to>
                </anchor>
              </controlPr>
            </control>
          </mc:Choice>
        </mc:AlternateContent>
        <mc:AlternateContent xmlns:mc="http://schemas.openxmlformats.org/markup-compatibility/2006">
          <mc:Choice Requires="x14">
            <control shapeId="4189" r:id="rId83" name="Check Box 93">
              <controlPr defaultSize="0" autoFill="0" autoLine="0" autoPict="0">
                <anchor moveWithCells="1">
                  <from>
                    <xdr:col>3</xdr:col>
                    <xdr:colOff>914400</xdr:colOff>
                    <xdr:row>19</xdr:row>
                    <xdr:rowOff>0</xdr:rowOff>
                  </from>
                  <to>
                    <xdr:col>3</xdr:col>
                    <xdr:colOff>914400</xdr:colOff>
                    <xdr:row>20</xdr:row>
                    <xdr:rowOff>9525</xdr:rowOff>
                  </to>
                </anchor>
              </controlPr>
            </control>
          </mc:Choice>
        </mc:AlternateContent>
        <mc:AlternateContent xmlns:mc="http://schemas.openxmlformats.org/markup-compatibility/2006">
          <mc:Choice Requires="x14">
            <control shapeId="4190" r:id="rId84" name="Check Box 94">
              <controlPr defaultSize="0" autoFill="0" autoLine="0" autoPict="0">
                <anchor moveWithCells="1">
                  <from>
                    <xdr:col>3</xdr:col>
                    <xdr:colOff>990600</xdr:colOff>
                    <xdr:row>19</xdr:row>
                    <xdr:rowOff>0</xdr:rowOff>
                  </from>
                  <to>
                    <xdr:col>3</xdr:col>
                    <xdr:colOff>990600</xdr:colOff>
                    <xdr:row>20</xdr:row>
                    <xdr:rowOff>9525</xdr:rowOff>
                  </to>
                </anchor>
              </controlPr>
            </control>
          </mc:Choice>
        </mc:AlternateContent>
        <mc:AlternateContent xmlns:mc="http://schemas.openxmlformats.org/markup-compatibility/2006">
          <mc:Choice Requires="x14">
            <control shapeId="4191" r:id="rId85" name="Check Box 95">
              <controlPr defaultSize="0" autoFill="0" autoLine="0" autoPict="0">
                <anchor moveWithCells="1">
                  <from>
                    <xdr:col>3</xdr:col>
                    <xdr:colOff>914400</xdr:colOff>
                    <xdr:row>19</xdr:row>
                    <xdr:rowOff>0</xdr:rowOff>
                  </from>
                  <to>
                    <xdr:col>3</xdr:col>
                    <xdr:colOff>914400</xdr:colOff>
                    <xdr:row>20</xdr:row>
                    <xdr:rowOff>9525</xdr:rowOff>
                  </to>
                </anchor>
              </controlPr>
            </control>
          </mc:Choice>
        </mc:AlternateContent>
        <mc:AlternateContent xmlns:mc="http://schemas.openxmlformats.org/markup-compatibility/2006">
          <mc:Choice Requires="x14">
            <control shapeId="4192" r:id="rId86" name="Check Box 96">
              <controlPr defaultSize="0" autoFill="0" autoLine="0" autoPict="0">
                <anchor moveWithCells="1">
                  <from>
                    <xdr:col>3</xdr:col>
                    <xdr:colOff>914400</xdr:colOff>
                    <xdr:row>19</xdr:row>
                    <xdr:rowOff>0</xdr:rowOff>
                  </from>
                  <to>
                    <xdr:col>4</xdr:col>
                    <xdr:colOff>66675</xdr:colOff>
                    <xdr:row>20</xdr:row>
                    <xdr:rowOff>9525</xdr:rowOff>
                  </to>
                </anchor>
              </controlPr>
            </control>
          </mc:Choice>
        </mc:AlternateContent>
        <mc:AlternateContent xmlns:mc="http://schemas.openxmlformats.org/markup-compatibility/2006">
          <mc:Choice Requires="x14">
            <control shapeId="4193" r:id="rId87" name="Check Box 97">
              <controlPr defaultSize="0" autoFill="0" autoLine="0" autoPict="0">
                <anchor moveWithCells="1">
                  <from>
                    <xdr:col>3</xdr:col>
                    <xdr:colOff>990600</xdr:colOff>
                    <xdr:row>21</xdr:row>
                    <xdr:rowOff>0</xdr:rowOff>
                  </from>
                  <to>
                    <xdr:col>3</xdr:col>
                    <xdr:colOff>990600</xdr:colOff>
                    <xdr:row>22</xdr:row>
                    <xdr:rowOff>0</xdr:rowOff>
                  </to>
                </anchor>
              </controlPr>
            </control>
          </mc:Choice>
        </mc:AlternateContent>
        <mc:AlternateContent xmlns:mc="http://schemas.openxmlformats.org/markup-compatibility/2006">
          <mc:Choice Requires="x14">
            <control shapeId="4194" r:id="rId88" name="Check Box 98">
              <controlPr defaultSize="0" autoFill="0" autoLine="0" autoPict="0">
                <anchor moveWithCells="1">
                  <from>
                    <xdr:col>3</xdr:col>
                    <xdr:colOff>990600</xdr:colOff>
                    <xdr:row>21</xdr:row>
                    <xdr:rowOff>0</xdr:rowOff>
                  </from>
                  <to>
                    <xdr:col>3</xdr:col>
                    <xdr:colOff>990600</xdr:colOff>
                    <xdr:row>22</xdr:row>
                    <xdr:rowOff>0</xdr:rowOff>
                  </to>
                </anchor>
              </controlPr>
            </control>
          </mc:Choice>
        </mc:AlternateContent>
        <mc:AlternateContent xmlns:mc="http://schemas.openxmlformats.org/markup-compatibility/2006">
          <mc:Choice Requires="x14">
            <control shapeId="4195" r:id="rId89" name="Check Box 99">
              <controlPr defaultSize="0" autoFill="0" autoLine="0" autoPict="0">
                <anchor moveWithCells="1">
                  <from>
                    <xdr:col>3</xdr:col>
                    <xdr:colOff>38100</xdr:colOff>
                    <xdr:row>21</xdr:row>
                    <xdr:rowOff>0</xdr:rowOff>
                  </from>
                  <to>
                    <xdr:col>3</xdr:col>
                    <xdr:colOff>295275</xdr:colOff>
                    <xdr:row>22</xdr:row>
                    <xdr:rowOff>0</xdr:rowOff>
                  </to>
                </anchor>
              </controlPr>
            </control>
          </mc:Choice>
        </mc:AlternateContent>
        <mc:AlternateContent xmlns:mc="http://schemas.openxmlformats.org/markup-compatibility/2006">
          <mc:Choice Requires="x14">
            <control shapeId="4196" r:id="rId90" name="Check Box 100">
              <controlPr defaultSize="0" autoFill="0" autoLine="0" autoPict="0">
                <anchor moveWithCells="1">
                  <from>
                    <xdr:col>3</xdr:col>
                    <xdr:colOff>914400</xdr:colOff>
                    <xdr:row>21</xdr:row>
                    <xdr:rowOff>0</xdr:rowOff>
                  </from>
                  <to>
                    <xdr:col>3</xdr:col>
                    <xdr:colOff>914400</xdr:colOff>
                    <xdr:row>22</xdr:row>
                    <xdr:rowOff>0</xdr:rowOff>
                  </to>
                </anchor>
              </controlPr>
            </control>
          </mc:Choice>
        </mc:AlternateContent>
        <mc:AlternateContent xmlns:mc="http://schemas.openxmlformats.org/markup-compatibility/2006">
          <mc:Choice Requires="x14">
            <control shapeId="4197" r:id="rId91" name="Check Box 101">
              <controlPr defaultSize="0" autoFill="0" autoLine="0" autoPict="0">
                <anchor moveWithCells="1">
                  <from>
                    <xdr:col>3</xdr:col>
                    <xdr:colOff>990600</xdr:colOff>
                    <xdr:row>21</xdr:row>
                    <xdr:rowOff>0</xdr:rowOff>
                  </from>
                  <to>
                    <xdr:col>3</xdr:col>
                    <xdr:colOff>990600</xdr:colOff>
                    <xdr:row>22</xdr:row>
                    <xdr:rowOff>0</xdr:rowOff>
                  </to>
                </anchor>
              </controlPr>
            </control>
          </mc:Choice>
        </mc:AlternateContent>
        <mc:AlternateContent xmlns:mc="http://schemas.openxmlformats.org/markup-compatibility/2006">
          <mc:Choice Requires="x14">
            <control shapeId="4198" r:id="rId92" name="Check Box 102">
              <controlPr defaultSize="0" autoFill="0" autoLine="0" autoPict="0">
                <anchor moveWithCells="1">
                  <from>
                    <xdr:col>3</xdr:col>
                    <xdr:colOff>914400</xdr:colOff>
                    <xdr:row>21</xdr:row>
                    <xdr:rowOff>0</xdr:rowOff>
                  </from>
                  <to>
                    <xdr:col>3</xdr:col>
                    <xdr:colOff>914400</xdr:colOff>
                    <xdr:row>22</xdr:row>
                    <xdr:rowOff>0</xdr:rowOff>
                  </to>
                </anchor>
              </controlPr>
            </control>
          </mc:Choice>
        </mc:AlternateContent>
        <mc:AlternateContent xmlns:mc="http://schemas.openxmlformats.org/markup-compatibility/2006">
          <mc:Choice Requires="x14">
            <control shapeId="4199" r:id="rId93" name="Check Box 103">
              <controlPr defaultSize="0" autoFill="0" autoLine="0" autoPict="0">
                <anchor moveWithCells="1">
                  <from>
                    <xdr:col>3</xdr:col>
                    <xdr:colOff>914400</xdr:colOff>
                    <xdr:row>21</xdr:row>
                    <xdr:rowOff>0</xdr:rowOff>
                  </from>
                  <to>
                    <xdr:col>4</xdr:col>
                    <xdr:colOff>66675</xdr:colOff>
                    <xdr:row>22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C5469433-1A65-4A5C-904A-634977A8BF23}">
            <xm:f>'Allgemeine Angaben'!$D$7&lt;&gt;"tst"</xm:f>
            <x14:dxf>
              <font>
                <color theme="0"/>
              </font>
              <fill>
                <patternFill>
                  <bgColor theme="0"/>
                </patternFill>
              </fill>
              <border>
                <left/>
                <right/>
                <top/>
                <bottom/>
                <vertical/>
                <horizontal/>
              </border>
            </x14:dxf>
          </x14:cfRule>
          <xm:sqref>D66:L66</xm:sqref>
        </x14:conditionalFormatting>
        <x14:conditionalFormatting xmlns:xm="http://schemas.microsoft.com/office/excel/2006/main">
          <x14:cfRule type="expression" priority="12" id="{4779AAF7-F16A-445E-9C91-918C1D745575}">
            <xm:f>'Allgemeine Angaben'!$D$7="tst"</xm:f>
            <x14:dxf>
              <font>
                <color theme="0"/>
              </font>
              <fill>
                <patternFill>
                  <bgColor theme="0"/>
                </patternFill>
              </fill>
              <border>
                <left/>
                <right/>
                <top/>
                <bottom/>
              </border>
            </x14:dxf>
          </x14:cfRule>
          <xm:sqref>D68:L68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pageSetUpPr fitToPage="1"/>
  </sheetPr>
  <dimension ref="A1:X59"/>
  <sheetViews>
    <sheetView showGridLines="0" zoomScaleNormal="100" workbookViewId="0">
      <selection activeCell="I58" sqref="I58"/>
    </sheetView>
  </sheetViews>
  <sheetFormatPr baseColWidth="10" defaultRowHeight="14.25"/>
  <cols>
    <col min="1" max="1" width="3.625" style="3" customWidth="1"/>
    <col min="2" max="2" width="6.625" style="3" customWidth="1"/>
    <col min="3" max="3" width="11" style="3" customWidth="1"/>
    <col min="4" max="5" width="11" style="3"/>
    <col min="6" max="6" width="7.75" style="3" customWidth="1"/>
    <col min="7" max="9" width="10.625" style="3" customWidth="1"/>
    <col min="10" max="10" width="3.625" style="3" customWidth="1"/>
    <col min="11" max="14" width="10.625" style="3" customWidth="1"/>
    <col min="15" max="16384" width="11" style="3"/>
  </cols>
  <sheetData>
    <row r="1" spans="1:24" ht="15" customHeight="1">
      <c r="A1" s="1356" t="str">
        <f>'Allgemeine Angaben'!A1:N1</f>
        <v>Aufforderung zum Abschluss einer Pflegesatzvereinbarung gemäß §§ 84, 85 SGB XI</v>
      </c>
      <c r="B1" s="1357"/>
      <c r="C1" s="1357"/>
      <c r="D1" s="1357"/>
      <c r="E1" s="1357"/>
      <c r="F1" s="1357"/>
      <c r="G1" s="1499"/>
      <c r="H1" s="1499"/>
      <c r="I1" s="1499"/>
      <c r="J1" s="1500"/>
      <c r="K1" s="11"/>
      <c r="M1" s="775"/>
    </row>
    <row r="2" spans="1:24" ht="15" customHeight="1">
      <c r="A2" s="1359" t="s">
        <v>262</v>
      </c>
      <c r="B2" s="1360"/>
      <c r="C2" s="1360"/>
      <c r="D2" s="1360"/>
      <c r="E2" s="1360"/>
      <c r="F2" s="1360"/>
      <c r="G2" s="1501"/>
      <c r="H2" s="1501"/>
      <c r="I2" s="1501"/>
      <c r="J2" s="1502"/>
      <c r="K2" s="121"/>
    </row>
    <row r="3" spans="1:24" ht="15" customHeight="1">
      <c r="A3" s="1377" t="str">
        <f>'Allgemeine Angaben'!A3:N3</f>
        <v/>
      </c>
      <c r="B3" s="1378"/>
      <c r="C3" s="1378"/>
      <c r="D3" s="1378"/>
      <c r="E3" s="1378"/>
      <c r="F3" s="1378"/>
      <c r="G3" s="1501"/>
      <c r="H3" s="1501"/>
      <c r="I3" s="1501"/>
      <c r="J3" s="1502"/>
      <c r="K3" s="101"/>
    </row>
    <row r="4" spans="1:24" ht="15" customHeight="1">
      <c r="A4" s="1380" t="str">
        <f>'Allgemeine Angaben'!A4:N4</f>
        <v/>
      </c>
      <c r="B4" s="1381"/>
      <c r="C4" s="1381"/>
      <c r="D4" s="1381"/>
      <c r="E4" s="1381"/>
      <c r="F4" s="1381"/>
      <c r="G4" s="1503"/>
      <c r="H4" s="1503"/>
      <c r="I4" s="1503"/>
      <c r="J4" s="1504"/>
      <c r="K4" s="587"/>
    </row>
    <row r="5" spans="1:24" ht="14.25" customHeight="1">
      <c r="A5" s="2"/>
      <c r="J5" s="4"/>
      <c r="K5" s="61"/>
    </row>
    <row r="6" spans="1:24" s="11" customFormat="1" ht="12.75">
      <c r="A6" s="39"/>
      <c r="B6" s="159" t="s">
        <v>1</v>
      </c>
      <c r="C6" s="159"/>
      <c r="D6" s="167"/>
      <c r="E6" s="167"/>
      <c r="F6" s="167"/>
      <c r="G6" s="167"/>
      <c r="H6" s="167"/>
      <c r="I6" s="159"/>
      <c r="J6" s="46"/>
    </row>
    <row r="7" spans="1:24" s="11" customFormat="1" ht="12.75">
      <c r="A7" s="39"/>
      <c r="B7" s="16"/>
      <c r="C7" s="16"/>
      <c r="I7" s="16"/>
      <c r="J7" s="46"/>
    </row>
    <row r="8" spans="1:24" s="11" customFormat="1" ht="12.75">
      <c r="A8" s="39"/>
      <c r="B8" s="16" t="s">
        <v>193</v>
      </c>
      <c r="C8" s="16"/>
      <c r="D8" s="408" t="str">
        <f>IF(Belegung!D8&gt;0,Belegung!D8,"")</f>
        <v/>
      </c>
      <c r="E8" s="50"/>
      <c r="F8" s="409" t="s">
        <v>261</v>
      </c>
      <c r="G8" s="410" t="str">
        <f>IF(Belegung!G6&gt;0,Belegung!G6,"")</f>
        <v/>
      </c>
      <c r="I8" s="16"/>
      <c r="J8" s="46"/>
      <c r="K8" s="469"/>
    </row>
    <row r="9" spans="1:24" s="11" customFormat="1" ht="9.9499999999999993" customHeight="1">
      <c r="A9" s="39"/>
      <c r="B9" s="105"/>
      <c r="C9" s="105"/>
      <c r="D9" s="105"/>
      <c r="E9" s="105"/>
      <c r="F9" s="105"/>
      <c r="G9" s="168"/>
      <c r="I9" s="16"/>
      <c r="J9" s="46"/>
    </row>
    <row r="10" spans="1:24" s="11" customFormat="1" ht="14.25" customHeight="1">
      <c r="A10" s="39"/>
      <c r="B10" s="16" t="s">
        <v>263</v>
      </c>
      <c r="C10" s="105"/>
      <c r="D10" s="105"/>
      <c r="E10" s="105"/>
      <c r="F10" s="105"/>
      <c r="G10" s="230" t="str">
        <f>IF('Allgemeine Angaben'!L47&gt;0,'Allgemeine Angaben'!L47,"")</f>
        <v/>
      </c>
      <c r="H10" s="1119" t="str">
        <f>IF(AND(I17&lt;&gt;G10,I17&gt;0),"Anzahl Gäste bitte prüfen, entspricht nicht der Platzzahl!","")</f>
        <v/>
      </c>
      <c r="I10" s="16"/>
      <c r="J10" s="46"/>
    </row>
    <row r="11" spans="1:24" s="11" customFormat="1" ht="9.9499999999999993" customHeight="1">
      <c r="A11" s="39"/>
      <c r="B11" s="105"/>
      <c r="C11" s="105"/>
      <c r="D11" s="105"/>
      <c r="E11" s="105"/>
      <c r="F11" s="105"/>
      <c r="G11" s="168"/>
      <c r="I11" s="16"/>
      <c r="J11" s="46"/>
      <c r="K11" s="69"/>
    </row>
    <row r="12" spans="1:24" s="11" customFormat="1" ht="14.25" customHeight="1">
      <c r="A12" s="39"/>
      <c r="B12" s="11" t="s">
        <v>274</v>
      </c>
      <c r="C12" s="105"/>
      <c r="D12" s="105"/>
      <c r="E12" s="105"/>
      <c r="F12" s="105"/>
      <c r="G12" s="84"/>
      <c r="H12" s="169"/>
      <c r="I12" s="177"/>
      <c r="J12" s="46"/>
      <c r="K12" s="69"/>
      <c r="L12" s="170"/>
      <c r="M12" s="170"/>
      <c r="N12" s="170"/>
      <c r="O12" s="170"/>
      <c r="P12" s="170"/>
      <c r="Q12" s="170"/>
      <c r="R12" s="170"/>
      <c r="S12" s="3"/>
      <c r="T12" s="3"/>
      <c r="U12" s="3"/>
      <c r="V12" s="3"/>
      <c r="W12" s="3"/>
      <c r="X12" s="3"/>
    </row>
    <row r="13" spans="1:24" s="11" customFormat="1" ht="9.9499999999999993" customHeight="1">
      <c r="A13" s="39"/>
      <c r="B13" s="105"/>
      <c r="C13" s="105"/>
      <c r="D13" s="105"/>
      <c r="E13" s="105"/>
      <c r="F13" s="105"/>
      <c r="G13" s="84"/>
      <c r="H13" s="169"/>
      <c r="I13" s="169"/>
      <c r="J13" s="46"/>
      <c r="K13" s="365"/>
      <c r="L13" s="170"/>
      <c r="M13" s="170"/>
      <c r="N13" s="170"/>
      <c r="O13" s="170"/>
      <c r="P13" s="170"/>
      <c r="Q13" s="170"/>
      <c r="R13" s="170"/>
      <c r="S13" s="3"/>
      <c r="T13" s="3"/>
      <c r="U13" s="3"/>
      <c r="V13" s="3"/>
      <c r="W13" s="3"/>
      <c r="X13" s="3"/>
    </row>
    <row r="14" spans="1:24" s="11" customFormat="1" ht="14.25" customHeight="1">
      <c r="A14" s="39"/>
      <c r="B14" s="11" t="s">
        <v>498</v>
      </c>
      <c r="C14" s="105"/>
      <c r="D14" s="105"/>
      <c r="E14" s="105"/>
      <c r="F14" s="105"/>
      <c r="G14" s="84"/>
      <c r="H14" s="169"/>
      <c r="I14" s="177"/>
      <c r="J14" s="46"/>
      <c r="K14" s="790"/>
      <c r="L14" s="170"/>
      <c r="M14" s="170"/>
      <c r="N14" s="170"/>
      <c r="O14" s="170"/>
      <c r="P14" s="170"/>
      <c r="Q14" s="170"/>
      <c r="R14" s="170"/>
      <c r="S14" s="3"/>
      <c r="T14" s="3"/>
      <c r="U14" s="3"/>
      <c r="V14" s="3"/>
      <c r="W14" s="3"/>
      <c r="X14" s="3"/>
    </row>
    <row r="15" spans="1:24" s="11" customFormat="1" ht="9.9499999999999993" customHeight="1">
      <c r="A15" s="39"/>
      <c r="B15" s="105"/>
      <c r="C15" s="105"/>
      <c r="D15" s="105"/>
      <c r="E15" s="105"/>
      <c r="F15" s="105"/>
      <c r="G15" s="84"/>
      <c r="H15" s="169"/>
      <c r="I15" s="169"/>
      <c r="J15" s="46"/>
      <c r="K15" s="365"/>
      <c r="L15" s="170"/>
      <c r="M15" s="170"/>
      <c r="N15" s="170"/>
      <c r="O15" s="170"/>
      <c r="P15" s="170"/>
      <c r="Q15" s="170"/>
      <c r="R15" s="170"/>
      <c r="S15" s="3"/>
      <c r="T15" s="3"/>
      <c r="U15" s="3"/>
      <c r="V15" s="3"/>
      <c r="W15" s="3"/>
      <c r="X15" s="3"/>
    </row>
    <row r="16" spans="1:24" s="11" customFormat="1" ht="14.25" customHeight="1">
      <c r="A16" s="39"/>
      <c r="B16" s="11" t="s">
        <v>499</v>
      </c>
      <c r="C16" s="105"/>
      <c r="D16" s="105"/>
      <c r="E16" s="105"/>
      <c r="F16" s="105"/>
      <c r="G16" s="84"/>
      <c r="H16" s="169"/>
      <c r="I16" s="177"/>
      <c r="J16" s="46"/>
      <c r="K16" s="583"/>
      <c r="L16" s="170"/>
      <c r="M16" s="170"/>
      <c r="N16" s="170"/>
      <c r="O16" s="170"/>
      <c r="P16" s="170"/>
      <c r="Q16" s="170"/>
      <c r="R16" s="170"/>
      <c r="S16" s="3"/>
      <c r="T16" s="3"/>
      <c r="U16" s="3"/>
      <c r="V16" s="3"/>
      <c r="W16" s="3"/>
      <c r="X16" s="3"/>
    </row>
    <row r="17" spans="1:24" s="11" customFormat="1" ht="9.9499999999999993" customHeight="1">
      <c r="A17" s="39"/>
      <c r="B17" s="105"/>
      <c r="C17" s="105"/>
      <c r="D17" s="105"/>
      <c r="E17" s="105"/>
      <c r="F17" s="105"/>
      <c r="G17" s="168"/>
      <c r="I17" s="847">
        <f>IF(SUM(I12,I14,I16)&gt;0,SUM(I12,I14,I16),0)</f>
        <v>0</v>
      </c>
      <c r="J17" s="46"/>
      <c r="K17" s="583"/>
      <c r="L17" s="170"/>
      <c r="M17" s="170"/>
      <c r="N17" s="170"/>
      <c r="O17" s="170"/>
      <c r="P17" s="170"/>
      <c r="Q17" s="170"/>
      <c r="R17" s="170"/>
      <c r="S17" s="3"/>
      <c r="T17" s="3"/>
      <c r="U17" s="3"/>
      <c r="V17" s="3"/>
      <c r="W17" s="3"/>
      <c r="X17" s="3"/>
    </row>
    <row r="18" spans="1:24" s="11" customFormat="1" ht="6" customHeight="1">
      <c r="A18" s="171"/>
      <c r="B18" s="172"/>
      <c r="C18" s="172"/>
      <c r="D18" s="172"/>
      <c r="E18" s="172"/>
      <c r="F18" s="172"/>
      <c r="G18" s="173"/>
      <c r="H18" s="173"/>
      <c r="I18" s="173"/>
      <c r="J18" s="174"/>
      <c r="K18" s="646"/>
    </row>
    <row r="19" spans="1:24" s="11" customFormat="1" ht="14.25" customHeight="1">
      <c r="A19" s="39"/>
      <c r="D19" s="11" t="s">
        <v>112</v>
      </c>
      <c r="G19" s="175" t="s">
        <v>113</v>
      </c>
      <c r="H19" s="175"/>
      <c r="I19" s="175"/>
      <c r="J19" s="176"/>
      <c r="K19" s="646"/>
    </row>
    <row r="20" spans="1:24" s="11" customFormat="1" ht="14.25" customHeight="1">
      <c r="A20" s="39"/>
      <c r="B20" s="178" t="s">
        <v>115</v>
      </c>
      <c r="C20" s="178"/>
      <c r="D20" s="167"/>
      <c r="E20" s="167"/>
      <c r="F20" s="167"/>
      <c r="G20" s="179"/>
      <c r="H20" s="180"/>
      <c r="I20" s="180"/>
      <c r="J20" s="46"/>
    </row>
    <row r="21" spans="1:24" s="11" customFormat="1" ht="14.25" customHeight="1">
      <c r="A21" s="39"/>
      <c r="B21" s="5"/>
      <c r="C21" s="5"/>
      <c r="G21" s="45"/>
      <c r="H21" s="78"/>
      <c r="I21" s="78"/>
      <c r="J21" s="46"/>
    </row>
    <row r="22" spans="1:24" s="11" customFormat="1" ht="14.25" customHeight="1">
      <c r="A22" s="39"/>
      <c r="B22" s="11" t="s">
        <v>114</v>
      </c>
      <c r="D22" s="177"/>
      <c r="H22" s="17" t="s">
        <v>393</v>
      </c>
      <c r="I22" s="177"/>
      <c r="J22" s="46"/>
      <c r="K22" s="101"/>
    </row>
    <row r="23" spans="1:24" s="11" customFormat="1" ht="14.25" customHeight="1">
      <c r="A23" s="39"/>
      <c r="I23" s="78"/>
      <c r="J23" s="46"/>
    </row>
    <row r="24" spans="1:24" s="11" customFormat="1" ht="14.25" customHeight="1">
      <c r="A24" s="39"/>
      <c r="B24" s="402" t="s">
        <v>116</v>
      </c>
      <c r="I24" s="78"/>
      <c r="J24" s="46"/>
    </row>
    <row r="25" spans="1:24" s="11" customFormat="1" ht="9.9499999999999993" customHeight="1">
      <c r="A25" s="39"/>
      <c r="I25" s="78"/>
      <c r="J25" s="46"/>
    </row>
    <row r="26" spans="1:24" s="11" customFormat="1" ht="14.25" customHeight="1">
      <c r="A26" s="39"/>
      <c r="B26" s="11" t="s">
        <v>275</v>
      </c>
      <c r="F26" s="198"/>
      <c r="G26" s="11" t="s">
        <v>265</v>
      </c>
      <c r="I26" s="78"/>
      <c r="J26" s="46"/>
      <c r="K26" s="3"/>
    </row>
    <row r="27" spans="1:24" s="11" customFormat="1" ht="13.5" customHeight="1">
      <c r="A27" s="39"/>
      <c r="G27" s="1118" t="str">
        <f>IF('Allgemeine Angaben'!D7&lt;&gt;"tst","",IF(AND(I12&lt;1,F26&gt;0),"Bitte unter a) Anzahl der Gäste eintragen.",""))</f>
        <v/>
      </c>
      <c r="I27" s="78"/>
      <c r="J27" s="46"/>
    </row>
    <row r="28" spans="1:24" s="11" customFormat="1" ht="14.25" customHeight="1">
      <c r="A28" s="39"/>
      <c r="B28" s="1" t="s">
        <v>264</v>
      </c>
      <c r="E28" s="921"/>
      <c r="G28" s="1118" t="str">
        <f>IF((E28)&gt;Personalaufwendungen!H45,"VK-Umfang (a + b) ungleich mit Blatt Personalaufwendungen",IF((E28)&lt;Personalaufwendungen!H45,"VK-Umfang (a + b) ungleich mit Blatt Personalaufwendungen",""))</f>
        <v/>
      </c>
      <c r="J28" s="46"/>
      <c r="K28" s="61"/>
    </row>
    <row r="29" spans="1:24" s="11" customFormat="1" ht="9.9499999999999993" customHeight="1">
      <c r="A29" s="39"/>
      <c r="I29" s="78"/>
      <c r="J29" s="46"/>
      <c r="K29" s="776"/>
    </row>
    <row r="30" spans="1:24" s="11" customFormat="1" ht="14.25" customHeight="1">
      <c r="A30" s="39"/>
      <c r="B30" s="1" t="s">
        <v>350</v>
      </c>
      <c r="E30" s="404" t="str">
        <f>IFERROR(Personalaufwendungen!J45/Personalaufwendungen!H45*Beförderung!E28,"")</f>
        <v/>
      </c>
      <c r="F30" s="403" t="s">
        <v>266</v>
      </c>
      <c r="G30" s="183" t="str">
        <f>IFERROR(ROUND(E30/$D$8/$G$8%/$I$12,2),"")</f>
        <v/>
      </c>
      <c r="H30" s="78" t="s">
        <v>75</v>
      </c>
      <c r="I30" s="78"/>
      <c r="J30" s="46"/>
      <c r="K30" s="776"/>
    </row>
    <row r="31" spans="1:24" s="11" customFormat="1" ht="14.25" customHeight="1">
      <c r="A31" s="39"/>
      <c r="B31" s="5"/>
      <c r="C31" s="5"/>
      <c r="G31" s="45"/>
      <c r="H31" s="78"/>
      <c r="I31" s="78"/>
      <c r="J31" s="46"/>
      <c r="K31" s="777"/>
    </row>
    <row r="32" spans="1:24" s="11" customFormat="1" ht="14.25" customHeight="1">
      <c r="A32" s="39"/>
      <c r="B32" s="402" t="s">
        <v>118</v>
      </c>
      <c r="J32" s="46"/>
      <c r="K32" s="17"/>
    </row>
    <row r="33" spans="1:12" s="11" customFormat="1" ht="9.9499999999999993" customHeight="1">
      <c r="A33" s="39"/>
      <c r="B33" s="105"/>
      <c r="C33" s="105"/>
      <c r="D33" s="105"/>
      <c r="E33" s="105"/>
      <c r="F33" s="105"/>
      <c r="G33" s="168"/>
      <c r="J33" s="46"/>
    </row>
    <row r="34" spans="1:12" s="11" customFormat="1" ht="14.25" customHeight="1">
      <c r="A34" s="39"/>
      <c r="C34" s="11" t="s">
        <v>119</v>
      </c>
      <c r="E34" s="48"/>
      <c r="F34" s="182" t="s">
        <v>117</v>
      </c>
      <c r="G34" s="183" t="str">
        <f>IFERROR(ROUND(E34/$D$8/$G$8%/$I$12*(1+Sachaufwendungen!J61),2),"")</f>
        <v/>
      </c>
      <c r="H34" s="78" t="s">
        <v>75</v>
      </c>
      <c r="I34" s="78"/>
      <c r="J34" s="46"/>
      <c r="K34" s="602"/>
    </row>
    <row r="35" spans="1:12" s="11" customFormat="1" ht="9.9499999999999993" customHeight="1">
      <c r="A35" s="39"/>
      <c r="B35" s="105"/>
      <c r="C35" s="105"/>
      <c r="D35" s="105"/>
      <c r="E35" s="105"/>
      <c r="F35" s="105"/>
      <c r="G35" s="168"/>
      <c r="J35" s="46"/>
    </row>
    <row r="36" spans="1:12" s="11" customFormat="1" ht="14.25" customHeight="1">
      <c r="A36" s="39"/>
      <c r="B36" s="181"/>
      <c r="C36" s="11" t="s">
        <v>120</v>
      </c>
      <c r="E36" s="48"/>
      <c r="F36" s="182" t="s">
        <v>117</v>
      </c>
      <c r="G36" s="183" t="str">
        <f>IFERROR(ROUND(E36/$D$8/$G$8%/$I$12*(1+Sachaufwendungen!J61),2),"")</f>
        <v/>
      </c>
      <c r="H36" s="78" t="s">
        <v>75</v>
      </c>
      <c r="I36" s="78"/>
      <c r="J36" s="46"/>
      <c r="K36" s="103"/>
    </row>
    <row r="37" spans="1:12" s="11" customFormat="1" ht="9.9499999999999993" customHeight="1">
      <c r="A37" s="39"/>
      <c r="B37" s="105"/>
      <c r="C37" s="105"/>
      <c r="D37" s="105"/>
      <c r="E37" s="105"/>
      <c r="F37" s="105"/>
      <c r="G37" s="168"/>
      <c r="J37" s="46"/>
    </row>
    <row r="38" spans="1:12" s="11" customFormat="1" ht="14.25" customHeight="1">
      <c r="A38" s="39"/>
      <c r="C38" s="11" t="s">
        <v>121</v>
      </c>
      <c r="E38" s="48"/>
      <c r="F38" s="182" t="s">
        <v>117</v>
      </c>
      <c r="G38" s="183" t="str">
        <f>IFERROR(ROUND(E38/$D$8/$G$8%/$I$12*(1+Sachaufwendungen!J61),2),"")</f>
        <v/>
      </c>
      <c r="H38" s="78" t="s">
        <v>75</v>
      </c>
      <c r="I38" s="78"/>
      <c r="J38" s="46"/>
    </row>
    <row r="39" spans="1:12" s="11" customFormat="1" ht="14.25" customHeight="1">
      <c r="A39" s="39"/>
      <c r="G39" s="45"/>
      <c r="J39" s="46"/>
    </row>
    <row r="40" spans="1:12" s="11" customFormat="1" ht="14.25" customHeight="1" thickBot="1">
      <c r="A40" s="39"/>
      <c r="B40" s="5" t="s">
        <v>515</v>
      </c>
      <c r="C40" s="181"/>
      <c r="E40" s="406" t="str">
        <f>IFERROR(E30+E34+E36+E38,"")</f>
        <v/>
      </c>
      <c r="F40" s="182" t="s">
        <v>117</v>
      </c>
      <c r="G40" s="184">
        <f>IFERROR((G30+G34+G36+G38),0)</f>
        <v>0</v>
      </c>
      <c r="H40" s="78" t="s">
        <v>75</v>
      </c>
      <c r="I40" s="78"/>
      <c r="J40" s="46"/>
      <c r="K40" s="825"/>
    </row>
    <row r="41" spans="1:12" s="11" customFormat="1" ht="14.25" customHeight="1" thickTop="1">
      <c r="A41" s="39"/>
      <c r="J41" s="46"/>
      <c r="K41" s="793"/>
    </row>
    <row r="42" spans="1:12" s="11" customFormat="1" ht="14.25" customHeight="1">
      <c r="A42" s="39"/>
      <c r="B42" s="178" t="s">
        <v>496</v>
      </c>
      <c r="C42" s="167"/>
      <c r="D42" s="167"/>
      <c r="E42" s="167"/>
      <c r="F42" s="167"/>
      <c r="G42" s="167"/>
      <c r="H42" s="167"/>
      <c r="I42" s="167"/>
      <c r="J42" s="46"/>
      <c r="K42" s="790"/>
    </row>
    <row r="43" spans="1:12" s="11" customFormat="1" ht="14.25" customHeight="1">
      <c r="A43" s="39"/>
      <c r="E43" s="1530"/>
      <c r="F43" s="1530"/>
      <c r="G43" s="185"/>
      <c r="H43" s="78"/>
      <c r="I43" s="78"/>
      <c r="J43" s="46"/>
    </row>
    <row r="44" spans="1:12" s="11" customFormat="1" ht="14.25" customHeight="1">
      <c r="A44" s="39"/>
      <c r="B44" s="11" t="s">
        <v>267</v>
      </c>
      <c r="E44" s="383"/>
      <c r="F44" s="383"/>
      <c r="G44" s="185"/>
      <c r="H44" s="78"/>
      <c r="I44" s="405">
        <f>I14</f>
        <v>0</v>
      </c>
      <c r="J44" s="46"/>
    </row>
    <row r="45" spans="1:12" s="11" customFormat="1" ht="9.9499999999999993" customHeight="1">
      <c r="A45" s="39"/>
      <c r="E45" s="383"/>
      <c r="F45" s="383"/>
      <c r="G45" s="185"/>
      <c r="H45" s="78"/>
      <c r="I45" s="78"/>
      <c r="J45" s="46"/>
    </row>
    <row r="46" spans="1:12" s="11" customFormat="1" ht="12.75" customHeight="1">
      <c r="A46" s="39"/>
      <c r="B46" s="11" t="s">
        <v>122</v>
      </c>
      <c r="C46" s="186"/>
      <c r="D46" s="1531"/>
      <c r="E46" s="1532"/>
      <c r="F46" s="1532"/>
      <c r="G46" s="1532"/>
      <c r="H46" s="78"/>
      <c r="J46" s="46"/>
      <c r="L46" s="778"/>
    </row>
    <row r="47" spans="1:12" s="11" customFormat="1" ht="9.9499999999999993" customHeight="1">
      <c r="A47" s="39"/>
      <c r="B47" s="187"/>
      <c r="C47" s="187"/>
      <c r="D47" s="105"/>
      <c r="E47" s="105"/>
      <c r="F47" s="105"/>
      <c r="G47" s="105"/>
      <c r="H47" s="78"/>
      <c r="I47" s="105"/>
      <c r="J47" s="46"/>
    </row>
    <row r="48" spans="1:12" s="11" customFormat="1" ht="14.25" customHeight="1">
      <c r="A48" s="39"/>
      <c r="B48" s="11" t="s">
        <v>268</v>
      </c>
      <c r="C48" s="187"/>
      <c r="D48" s="105"/>
      <c r="E48" s="48"/>
      <c r="F48" s="182" t="s">
        <v>117</v>
      </c>
      <c r="G48" s="183">
        <f>IFERROR(ROUND($E$48/$D$8/$G$8%/$I$44,2),0)</f>
        <v>0</v>
      </c>
      <c r="H48" s="78" t="s">
        <v>75</v>
      </c>
      <c r="I48" s="105"/>
      <c r="J48" s="46"/>
    </row>
    <row r="49" spans="1:14" s="11" customFormat="1" ht="14.25" customHeight="1">
      <c r="A49" s="39"/>
      <c r="B49" s="187"/>
      <c r="C49" s="187"/>
      <c r="D49" s="105"/>
      <c r="E49" s="105"/>
      <c r="F49" s="105"/>
      <c r="G49" s="105"/>
      <c r="H49" s="78"/>
      <c r="I49" s="105"/>
      <c r="J49" s="46"/>
    </row>
    <row r="50" spans="1:14" s="11" customFormat="1" ht="6" customHeight="1">
      <c r="A50" s="171"/>
      <c r="B50" s="172"/>
      <c r="C50" s="172"/>
      <c r="D50" s="172"/>
      <c r="E50" s="172"/>
      <c r="F50" s="172"/>
      <c r="G50" s="173"/>
      <c r="H50" s="173"/>
      <c r="I50" s="173"/>
      <c r="J50" s="174"/>
    </row>
    <row r="51" spans="1:14" s="11" customFormat="1" ht="13.5" thickBot="1">
      <c r="A51" s="39"/>
      <c r="B51" s="16"/>
      <c r="C51" s="16"/>
      <c r="D51" s="105"/>
      <c r="E51" s="105"/>
      <c r="G51" s="168"/>
      <c r="I51" s="105"/>
      <c r="J51" s="46"/>
      <c r="L51" s="105"/>
    </row>
    <row r="52" spans="1:14" s="11" customFormat="1" ht="13.5" thickBot="1">
      <c r="A52" s="39"/>
      <c r="B52" s="16" t="s">
        <v>497</v>
      </c>
      <c r="C52" s="16"/>
      <c r="D52" s="105"/>
      <c r="E52" s="105"/>
      <c r="F52" s="105"/>
      <c r="G52" s="407" t="str">
        <f>IFERROR(((G40*$D$8*I12*$G$8/100)+(G48*$D$8*$G$8*I14/100))/((I12+I14)*$D$8*$G$8/100),"")</f>
        <v/>
      </c>
      <c r="H52" s="78" t="s">
        <v>75</v>
      </c>
      <c r="I52" s="105"/>
      <c r="J52" s="46"/>
      <c r="K52" s="793"/>
      <c r="L52" s="105"/>
    </row>
    <row r="53" spans="1:14" s="11" customFormat="1" ht="13.5" customHeight="1">
      <c r="A53" s="39"/>
      <c r="B53" s="16"/>
      <c r="C53" s="16"/>
      <c r="D53" s="105"/>
      <c r="E53" s="50"/>
      <c r="F53" s="50"/>
      <c r="G53" s="50"/>
      <c r="I53" s="105"/>
      <c r="J53" s="46"/>
      <c r="K53" s="665"/>
      <c r="L53" s="105"/>
    </row>
    <row r="54" spans="1:14">
      <c r="A54" s="39"/>
      <c r="B54" s="16"/>
      <c r="C54" s="665"/>
      <c r="D54" s="665"/>
      <c r="E54" s="665"/>
      <c r="F54" s="665"/>
      <c r="G54" s="794"/>
      <c r="H54" s="417"/>
      <c r="J54" s="4"/>
      <c r="K54" s="787"/>
    </row>
    <row r="55" spans="1:14">
      <c r="A55" s="37"/>
      <c r="B55" s="772"/>
      <c r="C55" s="664"/>
      <c r="D55" s="664"/>
      <c r="E55" s="664"/>
      <c r="F55" s="664"/>
      <c r="G55" s="664"/>
      <c r="H55" s="664"/>
      <c r="I55" s="55"/>
      <c r="J55" s="1166"/>
    </row>
    <row r="56" spans="1:14" ht="15" thickBot="1"/>
    <row r="57" spans="1:14" ht="15" thickBot="1">
      <c r="D57" s="1370" t="s">
        <v>260</v>
      </c>
      <c r="E57" s="1371"/>
      <c r="F57" s="1372"/>
    </row>
    <row r="59" spans="1:14">
      <c r="A59" s="779"/>
      <c r="M59" s="779"/>
      <c r="N59" s="779"/>
    </row>
  </sheetData>
  <sheetProtection algorithmName="SHA-512" hashValue="PTkAmBAvLi3t/vEdbcH+lHQpnObgRbqmy68++zlWIixzm5VXybcb0h1OYC5fxeLfxiQewm2Y3wk4JikfMFgz5w==" saltValue="BGgb5w3vOwZKEhFb2L2fXg==" spinCount="100000" sheet="1" objects="1" scenarios="1"/>
  <customSheetViews>
    <customSheetView guid="{CDDBAA41-0D3E-44AF-A85A-332C81A5DAE4}" showGridLines="0" fitToPage="1">
      <pane ySplit="4" topLeftCell="A29" activePane="bottomLeft" state="frozen"/>
      <selection pane="bottomLeft" activeCell="B5" sqref="B5"/>
      <pageMargins left="0.70866141732283472" right="0.70866141732283472" top="0.78740157480314965" bottom="0.78740157480314965" header="0.31496062992125984" footer="0.31496062992125984"/>
      <pageSetup paperSize="9" scale="92" orientation="portrait"/>
      <headerFooter>
        <oddHeader>&amp;C&amp;9Seite Beförderung</oddHeader>
        <oddFooter>&amp;C&amp;8Verhandlungstunterlagen SGB XI&amp;R&amp;8Version Kostenträger Stand: 29.11.2018</oddFooter>
      </headerFooter>
    </customSheetView>
  </customSheetViews>
  <mergeCells count="7">
    <mergeCell ref="D57:F57"/>
    <mergeCell ref="A1:J1"/>
    <mergeCell ref="A2:J2"/>
    <mergeCell ref="A3:J3"/>
    <mergeCell ref="A4:J4"/>
    <mergeCell ref="E43:F43"/>
    <mergeCell ref="D46:G46"/>
  </mergeCells>
  <conditionalFormatting sqref="G40">
    <cfRule type="cellIs" dxfId="63" priority="5" operator="between">
      <formula>0</formula>
      <formula>0</formula>
    </cfRule>
  </conditionalFormatting>
  <conditionalFormatting sqref="G48">
    <cfRule type="containsErrors" dxfId="62" priority="6">
      <formula>ISERROR(G48)</formula>
    </cfRule>
  </conditionalFormatting>
  <conditionalFormatting sqref="G52">
    <cfRule type="containsErrors" dxfId="61" priority="4">
      <formula>ISERROR(G52)</formula>
    </cfRule>
  </conditionalFormatting>
  <conditionalFormatting sqref="I44">
    <cfRule type="expression" dxfId="59" priority="7">
      <formula>$I$44=0</formula>
    </cfRule>
  </conditionalFormatting>
  <hyperlinks>
    <hyperlink ref="D57" location="'Anlage 1'!A1" display="Anlage 1" xr:uid="{00000000-0004-0000-0700-000000000000}"/>
    <hyperlink ref="D57:F57" location="Forderung!A1" display="gehe weiter zu B_Forderung" xr:uid="{00000000-0004-0000-0700-000001000000}"/>
  </hyperlinks>
  <pageMargins left="0.70866141732283472" right="0.70866141732283472" top="0.78740157480314965" bottom="0.78740157480314965" header="0.31496062992125984" footer="0.31496062992125984"/>
  <pageSetup paperSize="9" scale="92" orientation="portrait"/>
  <headerFooter>
    <oddHeader>&amp;C&amp;9Seite Beförderung</oddHeader>
    <oddFooter>&amp;L&amp;8Version: 21.11.2024&amp;C&amp;8Verhandlungsunterlagen TP/KZP SGB XI&amp;R&amp;8PSK vom 07.11.2024</oddFooter>
  </headerFooter>
  <extLst>
    <ext xmlns:x14="http://schemas.microsoft.com/office/spreadsheetml/2009/9/main" uri="{78C0D931-6437-407d-A8EE-F0AAD7539E65}">
      <x14:conditionalFormattings>
        <x14:conditionalFormatting xmlns:xm="http://schemas.microsoft.com/office/excel/2006/main">
          <x14:cfRule type="expression" priority="1" id="{1BB70775-5BDD-431D-8468-42F03B16C9E8}">
            <xm:f>KAT!$A$34="nein"</xm:f>
            <x14:dxf>
              <fill>
                <patternFill>
                  <bgColor theme="0"/>
                </patternFill>
              </fill>
            </x14:dxf>
          </x14:cfRule>
          <xm:sqref>G27:G28</xm:sqref>
        </x14:conditionalFormatting>
        <x14:conditionalFormatting xmlns:xm="http://schemas.microsoft.com/office/excel/2006/main">
          <x14:cfRule type="expression" priority="3" id="{69CC2AAB-884F-4092-AC45-C9665EC542E0}">
            <xm:f>KAT!$A$34="nein"</xm:f>
            <x14:dxf>
              <fill>
                <patternFill>
                  <bgColor theme="0"/>
                </patternFill>
              </fill>
            </x14:dxf>
          </x14:cfRule>
          <xm:sqref>H10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20</vt:i4>
      </vt:variant>
    </vt:vector>
  </HeadingPairs>
  <TitlesOfParts>
    <vt:vector size="34" baseType="lpstr">
      <vt:lpstr>Allgemeine Hinweise</vt:lpstr>
      <vt:lpstr>VERSIONSINFO</vt:lpstr>
      <vt:lpstr>Allgemeine Angaben</vt:lpstr>
      <vt:lpstr>KAT</vt:lpstr>
      <vt:lpstr>Belegung</vt:lpstr>
      <vt:lpstr>Personalkostenaufstellung</vt:lpstr>
      <vt:lpstr>Personalaufwendungen</vt:lpstr>
      <vt:lpstr>Sachaufwendungen</vt:lpstr>
      <vt:lpstr>Beförderung</vt:lpstr>
      <vt:lpstr>Forderung</vt:lpstr>
      <vt:lpstr>Gesamtkalkulation</vt:lpstr>
      <vt:lpstr>Bewohnervertretung</vt:lpstr>
      <vt:lpstr>Hinweise Sachaufwendungen</vt:lpstr>
      <vt:lpstr>Adressverzeichnis</vt:lpstr>
      <vt:lpstr>divisor</vt:lpstr>
      <vt:lpstr>Adressverzeichnis!Druckbereich</vt:lpstr>
      <vt:lpstr>'Allgemeine Angaben'!Druckbereich</vt:lpstr>
      <vt:lpstr>Beförderung!Druckbereich</vt:lpstr>
      <vt:lpstr>Belegung!Druckbereich</vt:lpstr>
      <vt:lpstr>Bewohnervertretung!Druckbereich</vt:lpstr>
      <vt:lpstr>Forderung!Druckbereich</vt:lpstr>
      <vt:lpstr>Gesamtkalkulation!Druckbereich</vt:lpstr>
      <vt:lpstr>'Hinweise Sachaufwendungen'!Druckbereich</vt:lpstr>
      <vt:lpstr>KAT!Druckbereich</vt:lpstr>
      <vt:lpstr>Personalaufwendungen!Druckbereich</vt:lpstr>
      <vt:lpstr>Personalkostenaufstellung!Druckbereich</vt:lpstr>
      <vt:lpstr>Sachaufwendungen!Druckbereich</vt:lpstr>
      <vt:lpstr>VERSIONSINFO!Druckbereich</vt:lpstr>
      <vt:lpstr>'Hinweise Sachaufwendungen'!Drucktitel</vt:lpstr>
      <vt:lpstr>Personalkostenaufstellung!Drucktitel</vt:lpstr>
      <vt:lpstr>VERSIONSINFO!Drucktitel</vt:lpstr>
      <vt:lpstr>eeadivisor</vt:lpstr>
      <vt:lpstr>pnk</vt:lpstr>
      <vt:lpstr>risiko</vt:lpstr>
    </vt:vector>
  </TitlesOfParts>
  <Company>AOK 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Antragsunterlagen für Entgeltverhandlungen für teilstationäre Pflege und Kurzzeitpflege</dc:title>
  <dc:creator>AOK PLUS - Die Gesundheitskasse für Sachsen und Thüringen</dc:creator>
  <cp:lastPrinted>2024-11-22T16:04:13Z</cp:lastPrinted>
  <dcterms:created xsi:type="dcterms:W3CDTF">2012-08-21T12:23:19Z</dcterms:created>
  <dcterms:modified xsi:type="dcterms:W3CDTF">2024-11-25T13:01:01Z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f72c9e-ff9b-4d29-a8be-f698af1f1989_Enabled">
    <vt:lpwstr>true</vt:lpwstr>
  </property>
  <property fmtid="{D5CDD505-2E9C-101B-9397-08002B2CF9AE}" pid="3" name="MSIP_Label_94f72c9e-ff9b-4d29-a8be-f698af1f1989_SetDate">
    <vt:lpwstr>2024-11-22T09:35:12Z</vt:lpwstr>
  </property>
  <property fmtid="{D5CDD505-2E9C-101B-9397-08002B2CF9AE}" pid="4" name="MSIP_Label_94f72c9e-ff9b-4d29-a8be-f698af1f1989_Method">
    <vt:lpwstr>Privileged</vt:lpwstr>
  </property>
  <property fmtid="{D5CDD505-2E9C-101B-9397-08002B2CF9AE}" pid="5" name="MSIP_Label_94f72c9e-ff9b-4d29-a8be-f698af1f1989_Name">
    <vt:lpwstr>öffentlich</vt:lpwstr>
  </property>
  <property fmtid="{D5CDD505-2E9C-101B-9397-08002B2CF9AE}" pid="6" name="MSIP_Label_94f72c9e-ff9b-4d29-a8be-f698af1f1989_SiteId">
    <vt:lpwstr>f5342d95-aa7e-460f-b3ed-51b1514dd06a</vt:lpwstr>
  </property>
  <property fmtid="{D5CDD505-2E9C-101B-9397-08002B2CF9AE}" pid="7" name="MSIP_Label_94f72c9e-ff9b-4d29-a8be-f698af1f1989_ActionId">
    <vt:lpwstr>7a2ebd59-5b45-4954-b640-2a2ba00c7d89</vt:lpwstr>
  </property>
  <property fmtid="{D5CDD505-2E9C-101B-9397-08002B2CF9AE}" pid="8" name="MSIP_Label_94f72c9e-ff9b-4d29-a8be-f698af1f1989_ContentBits">
    <vt:lpwstr>2</vt:lpwstr>
  </property>
</Properties>
</file>