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mc:AlternateContent xmlns:mc="http://schemas.openxmlformats.org/markup-compatibility/2006">
    <mc:Choice Requires="x15">
      <x15ac:absPath xmlns:x15ac="http://schemas.microsoft.com/office/spreadsheetml/2010/11/ac" url="\\data.plus.aok.de\dfs\DAT\G\PP\VM\S\_ALL\SAC\GREMIEN_ARBEITSGRUPPEN\UAG Antragsunterlagen\ab_14.08.2023\04_Abstimmungen_UAG\241111 UAG\Endversion Anträge\C1\"/>
    </mc:Choice>
  </mc:AlternateContent>
  <xr:revisionPtr revIDLastSave="0" documentId="13_ncr:1_{B641D9FD-AEBA-445A-8394-A4293F69E30C}" xr6:coauthVersionLast="47" xr6:coauthVersionMax="47" xr10:uidLastSave="{00000000-0000-0000-0000-000000000000}"/>
  <workbookProtection workbookAlgorithmName="SHA-512" workbookHashValue="ZPryxhdZyjXrz3wJhrf/4m4BC5uI07wmQDabecRiT1whHOqzcXHC82s2IW41MhmIUIecjqRLwLp1CD1iFOUXcQ==" workbookSaltValue="qSG4S9Z++TsE3CnPp/5EZw==" workbookSpinCount="100000" lockStructure="1"/>
  <bookViews>
    <workbookView xWindow="-120" yWindow="-120" windowWidth="29040" windowHeight="15840" tabRatio="783" xr2:uid="{00000000-000D-0000-FFFF-FFFF00000000}"/>
  </bookViews>
  <sheets>
    <sheet name="C1_Hinweise" sheetId="1" r:id="rId1"/>
    <sheet name="C1_Allgemeine Angaben" sheetId="2" r:id="rId2"/>
    <sheet name="C1_Kalkulation" sheetId="3" r:id="rId3"/>
    <sheet name="C1_Berechnung" sheetId="8" r:id="rId4"/>
    <sheet name="C1_Berechnung 2" sheetId="12" r:id="rId5"/>
    <sheet name="C1_Gesamtkalkulation" sheetId="4" r:id="rId6"/>
    <sheet name="C1_Bewohnervertretung" sheetId="6" r:id="rId7"/>
    <sheet name="C1_Ergebnis" sheetId="9" r:id="rId8"/>
    <sheet name="C1_Versionsinfo" sheetId="10" state="hidden" r:id="rId9"/>
    <sheet name="C1_Archiv" sheetId="11" state="hidden" r:id="rId10"/>
    <sheet name="KAT" sheetId="5" state="hidden" r:id="rId11"/>
    <sheet name="Adressverzeichnis" sheetId="7" state="hidden" r:id="rId12"/>
  </sheets>
  <definedNames>
    <definedName name="divisor">#REF!</definedName>
    <definedName name="_xlnm.Print_Area" localSheetId="11">Adressverzeichnis!$A$1:$I$52</definedName>
    <definedName name="_xlnm.Print_Area" localSheetId="1">'C1_Allgemeine Angaben'!$A$1:$N$74</definedName>
    <definedName name="_xlnm.Print_Area" localSheetId="3">'C1_Berechnung'!$A$1:$N$49</definedName>
    <definedName name="_xlnm.Print_Area" localSheetId="4">'C1_Berechnung 2'!$A$1:$N$49</definedName>
    <definedName name="_xlnm.Print_Area" localSheetId="6">'C1_Bewohnervertretung'!$A$1:$N$64</definedName>
    <definedName name="_xlnm.Print_Area" localSheetId="7">'C1_Ergebnis'!$A$1:$M$47</definedName>
    <definedName name="_xlnm.Print_Area" localSheetId="5">'C1_Gesamtkalkulation'!$A$1:$W$54</definedName>
    <definedName name="_xlnm.Print_Area" localSheetId="0">'C1_Hinweise'!$A$1:$G$246</definedName>
    <definedName name="_xlnm.Print_Area" localSheetId="2">'C1_Kalkulation'!$A$1:$R$70</definedName>
    <definedName name="_xlnm.Print_Area" localSheetId="8">'C1_Versionsinfo'!$A$1:$E$135</definedName>
    <definedName name="_xlnm.Print_Area" localSheetId="10">KAT!$A$1</definedName>
    <definedName name="_xlnm.Print_Titles" localSheetId="8">'C1_Versionsinfo'!$5:$5</definedName>
    <definedName name="eeadivisor">'C1_Gesamtkalkulation'!$F$11</definedName>
    <definedName name="pnk">#REF!</definedName>
    <definedName name="risiko">#REF!</definedName>
    <definedName name="Z_9119B1A0_FD79_4FE4_B78E_10E0AEB8080B_.wvu.Cols" localSheetId="11" hidden="1">Adressverzeichnis!$J:$K</definedName>
    <definedName name="Z_9119B1A0_FD79_4FE4_B78E_10E0AEB8080B_.wvu.Cols" localSheetId="1" hidden="1">'C1_Allgemeine Angaben'!$O:$T</definedName>
    <definedName name="Z_9119B1A0_FD79_4FE4_B78E_10E0AEB8080B_.wvu.Cols" localSheetId="5" hidden="1">'C1_Gesamtkalkulation'!$E:$G,'C1_Gesamtkalkulation'!$I:$I,'C1_Gesamtkalkulation'!$K:$K,'C1_Gesamtkalkulation'!$M:$M,'C1_Gesamtkalkulation'!$O:$O,'C1_Gesamtkalkulation'!$Q:$Q,'C1_Gesamtkalkulation'!$S:$S,'C1_Gesamtkalkulation'!$U:$U,'C1_Gesamtkalkulation'!$X:$AN</definedName>
    <definedName name="Z_9119B1A0_FD79_4FE4_B78E_10E0AEB8080B_.wvu.Cols" localSheetId="2" hidden="1">'C1_Kalkulation'!$S:$AS</definedName>
    <definedName name="Z_9119B1A0_FD79_4FE4_B78E_10E0AEB8080B_.wvu.PrintArea" localSheetId="11" hidden="1">Adressverzeichnis!$A$1:$I$52</definedName>
    <definedName name="Z_9119B1A0_FD79_4FE4_B78E_10E0AEB8080B_.wvu.PrintArea" localSheetId="1" hidden="1">'C1_Allgemeine Angaben'!$A$1:$N$74</definedName>
    <definedName name="Z_9119B1A0_FD79_4FE4_B78E_10E0AEB8080B_.wvu.PrintArea" localSheetId="6" hidden="1">'C1_Bewohnervertretung'!$A$1:$N$64</definedName>
    <definedName name="Z_9119B1A0_FD79_4FE4_B78E_10E0AEB8080B_.wvu.PrintArea" localSheetId="5" hidden="1">'C1_Gesamtkalkulation'!$A$1:$W$54</definedName>
    <definedName name="Z_9119B1A0_FD79_4FE4_B78E_10E0AEB8080B_.wvu.PrintArea" localSheetId="2" hidden="1">'C1_Kalkulation'!$A$1:$R$70</definedName>
    <definedName name="Z_9119B1A0_FD79_4FE4_B78E_10E0AEB8080B_.wvu.Rows" localSheetId="11" hidden="1">Adressverzeichnis!$48:$48</definedName>
    <definedName name="Z_9119B1A0_FD79_4FE4_B78E_10E0AEB8080B_.wvu.Rows" localSheetId="5" hidden="1">'C1_Gesamtkalkulation'!$58:$58</definedName>
  </definedNames>
  <calcPr calcId="191029"/>
  <customWorkbookViews>
    <customWorkbookView name="Bischoff, Kathrin - Persönliche Ansicht" guid="{9119B1A0-FD79-4FE4-B78E-10E0AEB8080B}" mergeInterval="0" personalView="1" maximized="1" xWindow="-8" yWindow="-8" windowWidth="1936" windowHeight="1056" tabRatio="78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 l="1"/>
  <c r="E13" i="12"/>
  <c r="E20" i="12"/>
  <c r="E26" i="12"/>
  <c r="S10" i="5"/>
  <c r="S11" i="5"/>
  <c r="S12" i="5"/>
  <c r="S13" i="5"/>
  <c r="S9" i="5"/>
  <c r="K14" i="5"/>
  <c r="L14" i="5"/>
  <c r="J14" i="5"/>
  <c r="S14" i="5" s="1"/>
  <c r="I28" i="3"/>
  <c r="G8" i="12"/>
  <c r="D43" i="12"/>
  <c r="E40" i="12"/>
  <c r="D40" i="12"/>
  <c r="C40" i="12"/>
  <c r="E30" i="12"/>
  <c r="E29" i="12"/>
  <c r="E28" i="12"/>
  <c r="E24" i="12"/>
  <c r="E23" i="12"/>
  <c r="E22" i="12"/>
  <c r="E17" i="12"/>
  <c r="E16" i="12"/>
  <c r="E15" i="12"/>
  <c r="Q14" i="12"/>
  <c r="P10" i="12"/>
  <c r="F8" i="12"/>
  <c r="B9" i="12"/>
  <c r="M4" i="12"/>
  <c r="K4" i="12"/>
  <c r="B4" i="12"/>
  <c r="M3" i="12"/>
  <c r="K3" i="12"/>
  <c r="B3" i="12"/>
  <c r="A1" i="12"/>
  <c r="C9" i="12"/>
  <c r="F9" i="12"/>
  <c r="D9" i="12"/>
  <c r="D39" i="12"/>
  <c r="D41" i="12"/>
  <c r="M52" i="2"/>
  <c r="J4" i="5"/>
  <c r="D103" i="5"/>
  <c r="P10" i="8"/>
  <c r="F8" i="8"/>
  <c r="B9" i="8"/>
  <c r="D9" i="8"/>
  <c r="E26" i="8"/>
  <c r="C101" i="5"/>
  <c r="C102" i="5"/>
  <c r="E17" i="8"/>
  <c r="E15" i="8"/>
  <c r="E13" i="8"/>
  <c r="D11" i="2"/>
  <c r="A1" i="1"/>
  <c r="A39" i="1"/>
  <c r="A91" i="1"/>
  <c r="A143" i="1"/>
  <c r="A195" i="1"/>
  <c r="K50" i="2"/>
  <c r="E30" i="8"/>
  <c r="E29" i="8"/>
  <c r="E28" i="8"/>
  <c r="E24" i="8"/>
  <c r="E23" i="8"/>
  <c r="E22" i="8"/>
  <c r="B13" i="9"/>
  <c r="D40" i="8"/>
  <c r="E40" i="8"/>
  <c r="C40" i="8"/>
  <c r="D102" i="5"/>
  <c r="D101" i="5"/>
  <c r="C100" i="5"/>
  <c r="C104" i="5"/>
  <c r="C108" i="5"/>
  <c r="C109" i="5"/>
  <c r="D100" i="5"/>
  <c r="E16" i="8"/>
  <c r="D39" i="8"/>
  <c r="E20" i="8"/>
  <c r="I9" i="9"/>
  <c r="C9" i="9"/>
  <c r="L3" i="3"/>
  <c r="K3" i="3"/>
  <c r="B9" i="9"/>
  <c r="G5" i="9"/>
  <c r="K35" i="9"/>
  <c r="F16" i="3"/>
  <c r="F15" i="9"/>
  <c r="G13" i="9"/>
  <c r="G12" i="9"/>
  <c r="G11" i="9"/>
  <c r="G8" i="9"/>
  <c r="G7" i="9"/>
  <c r="G6" i="9"/>
  <c r="B12" i="9"/>
  <c r="B11" i="9"/>
  <c r="B8" i="9"/>
  <c r="B7" i="9"/>
  <c r="B6" i="9"/>
  <c r="M4" i="8"/>
  <c r="M3" i="8"/>
  <c r="K4" i="8"/>
  <c r="K3" i="8"/>
  <c r="B3" i="8"/>
  <c r="B4" i="8"/>
  <c r="A1" i="8"/>
  <c r="A1" i="3"/>
  <c r="C4" i="3"/>
  <c r="P4" i="3"/>
  <c r="P3" i="3"/>
  <c r="C3" i="3"/>
  <c r="L30" i="3"/>
  <c r="E32" i="9"/>
  <c r="L31" i="3"/>
  <c r="F32" i="9"/>
  <c r="L32" i="3"/>
  <c r="G32" i="9"/>
  <c r="L33" i="3"/>
  <c r="I32" i="9"/>
  <c r="L29" i="3"/>
  <c r="D32" i="9"/>
  <c r="F57" i="3"/>
  <c r="F10" i="3"/>
  <c r="D10" i="3"/>
  <c r="H15" i="9"/>
  <c r="L10" i="3"/>
  <c r="I17" i="3"/>
  <c r="J17" i="3"/>
  <c r="E19" i="9"/>
  <c r="K17" i="3"/>
  <c r="F19" i="9"/>
  <c r="L17" i="3"/>
  <c r="G19" i="9"/>
  <c r="H17" i="3"/>
  <c r="C19" i="9"/>
  <c r="L54" i="3"/>
  <c r="L55" i="3"/>
  <c r="L56" i="3"/>
  <c r="L53" i="3"/>
  <c r="L51" i="3"/>
  <c r="L50" i="3"/>
  <c r="L38" i="3"/>
  <c r="L39" i="3"/>
  <c r="L40" i="3"/>
  <c r="L41" i="3"/>
  <c r="L42" i="3"/>
  <c r="L43" i="3"/>
  <c r="L44" i="3"/>
  <c r="L45" i="3"/>
  <c r="D35" i="4"/>
  <c r="L46" i="3"/>
  <c r="L37" i="3"/>
  <c r="L19" i="3"/>
  <c r="I14" i="3"/>
  <c r="J14" i="3"/>
  <c r="K14" i="3"/>
  <c r="L14" i="3"/>
  <c r="H14" i="3"/>
  <c r="J33" i="3"/>
  <c r="I27" i="9"/>
  <c r="I29" i="3"/>
  <c r="D27" i="9"/>
  <c r="I30" i="3"/>
  <c r="E27" i="9"/>
  <c r="I31" i="3"/>
  <c r="F27" i="9"/>
  <c r="I32" i="3"/>
  <c r="G27" i="9"/>
  <c r="I27" i="3"/>
  <c r="I26" i="3"/>
  <c r="I21" i="3"/>
  <c r="D23" i="9"/>
  <c r="I22" i="3"/>
  <c r="E23" i="9"/>
  <c r="I23" i="3"/>
  <c r="F23" i="9"/>
  <c r="I24" i="3"/>
  <c r="G23" i="9"/>
  <c r="I20" i="3"/>
  <c r="C23" i="9"/>
  <c r="C18" i="9"/>
  <c r="M9" i="5"/>
  <c r="G18" i="9"/>
  <c r="M13" i="5"/>
  <c r="F18" i="9"/>
  <c r="M12" i="5"/>
  <c r="E18" i="9"/>
  <c r="M11" i="5"/>
  <c r="D18" i="9"/>
  <c r="M10" i="5"/>
  <c r="D19" i="9"/>
  <c r="L16" i="3"/>
  <c r="M16" i="3"/>
  <c r="C27" i="9"/>
  <c r="L47" i="3"/>
  <c r="J10" i="4"/>
  <c r="N10" i="5"/>
  <c r="O10" i="5"/>
  <c r="P10" i="5"/>
  <c r="N11" i="5"/>
  <c r="O11" i="5"/>
  <c r="P11" i="5"/>
  <c r="N12" i="5"/>
  <c r="O12" i="5"/>
  <c r="P12" i="5"/>
  <c r="N13" i="5"/>
  <c r="O13" i="5"/>
  <c r="P13" i="5"/>
  <c r="P9" i="5"/>
  <c r="P14" i="5"/>
  <c r="O9" i="5"/>
  <c r="O14" i="5"/>
  <c r="N9" i="5"/>
  <c r="N14" i="5"/>
  <c r="M14" i="5"/>
  <c r="N34" i="3"/>
  <c r="N29" i="3"/>
  <c r="D28" i="9"/>
  <c r="N30" i="3"/>
  <c r="E28" i="9"/>
  <c r="N31" i="3"/>
  <c r="F28" i="9"/>
  <c r="N32" i="3"/>
  <c r="G28" i="9"/>
  <c r="N27" i="3"/>
  <c r="C28" i="9"/>
  <c r="N26" i="3"/>
  <c r="H24" i="9"/>
  <c r="C82" i="5"/>
  <c r="C83" i="5"/>
  <c r="C84" i="5"/>
  <c r="C85" i="5"/>
  <c r="C81" i="5"/>
  <c r="B85" i="5"/>
  <c r="B84" i="5"/>
  <c r="B83" i="5"/>
  <c r="B82" i="5"/>
  <c r="B81" i="5"/>
  <c r="G9" i="12"/>
  <c r="H9" i="12"/>
  <c r="D81" i="5"/>
  <c r="B88" i="5"/>
  <c r="D85" i="5"/>
  <c r="D84" i="5"/>
  <c r="D83" i="5"/>
  <c r="D82" i="5"/>
  <c r="D86" i="5"/>
  <c r="E83" i="5"/>
  <c r="F47" i="3"/>
  <c r="E84" i="5"/>
  <c r="E82" i="5"/>
  <c r="E81" i="5"/>
  <c r="E85" i="5"/>
  <c r="E86" i="5"/>
  <c r="B53" i="4"/>
  <c r="D7" i="2"/>
  <c r="J20" i="3"/>
  <c r="J21" i="3"/>
  <c r="J22" i="3"/>
  <c r="J23" i="3"/>
  <c r="J24" i="3"/>
  <c r="C70" i="5"/>
  <c r="B70" i="5"/>
  <c r="C69" i="5"/>
  <c r="B69" i="5"/>
  <c r="C71" i="5"/>
  <c r="B71" i="5"/>
  <c r="C72" i="5"/>
  <c r="B72" i="5"/>
  <c r="C73" i="5"/>
  <c r="B73" i="5"/>
  <c r="D62" i="5"/>
  <c r="D75" i="5"/>
  <c r="L6" i="4"/>
  <c r="J6" i="4"/>
  <c r="P6" i="4"/>
  <c r="D24" i="4"/>
  <c r="D40" i="4"/>
  <c r="D42" i="4"/>
  <c r="D43" i="4"/>
  <c r="D44" i="4"/>
  <c r="D45" i="4"/>
  <c r="D39" i="4"/>
  <c r="J10" i="3"/>
  <c r="C41" i="4"/>
  <c r="C42" i="4"/>
  <c r="C43" i="4"/>
  <c r="C44" i="4"/>
  <c r="C45" i="4"/>
  <c r="C40" i="4"/>
  <c r="B40" i="4"/>
  <c r="B41" i="4"/>
  <c r="B42" i="4"/>
  <c r="B43" i="4"/>
  <c r="B44" i="4"/>
  <c r="B45" i="4"/>
  <c r="B39" i="4"/>
  <c r="L61" i="3"/>
  <c r="L36" i="9"/>
  <c r="C49" i="5"/>
  <c r="D49" i="5"/>
  <c r="E49" i="5"/>
  <c r="F49" i="5"/>
  <c r="F56" i="5"/>
  <c r="E56" i="5"/>
  <c r="D56" i="5"/>
  <c r="C56" i="5"/>
  <c r="F53" i="5"/>
  <c r="E53" i="5"/>
  <c r="D53" i="5"/>
  <c r="F52" i="5"/>
  <c r="E52" i="5"/>
  <c r="D52" i="5"/>
  <c r="D28" i="4"/>
  <c r="D30" i="4"/>
  <c r="D31" i="4"/>
  <c r="D32" i="4"/>
  <c r="D33" i="4"/>
  <c r="D34" i="4"/>
  <c r="D36" i="4"/>
  <c r="D27" i="4"/>
  <c r="S27" i="4"/>
  <c r="S26" i="4"/>
  <c r="L12" i="3"/>
  <c r="H10" i="4"/>
  <c r="L6" i="3"/>
  <c r="L10" i="4"/>
  <c r="P10" i="4"/>
  <c r="N10" i="4"/>
  <c r="D29" i="4"/>
  <c r="Q29" i="4"/>
  <c r="D20" i="3"/>
  <c r="D21" i="3"/>
  <c r="D22" i="3"/>
  <c r="D23" i="3"/>
  <c r="D24" i="3"/>
  <c r="F12" i="3"/>
  <c r="D32" i="3"/>
  <c r="K33" i="3"/>
  <c r="K32" i="3"/>
  <c r="K31" i="3"/>
  <c r="K30" i="3"/>
  <c r="K29" i="3"/>
  <c r="K27" i="3"/>
  <c r="E27" i="3"/>
  <c r="E29" i="3"/>
  <c r="E30" i="3"/>
  <c r="E31" i="3"/>
  <c r="E32" i="3"/>
  <c r="E33" i="3"/>
  <c r="A4" i="2"/>
  <c r="A4" i="6"/>
  <c r="S53" i="4"/>
  <c r="Q53" i="4"/>
  <c r="O53" i="4"/>
  <c r="M53" i="4"/>
  <c r="K53" i="4"/>
  <c r="I53" i="4"/>
  <c r="G53" i="4"/>
  <c r="D6" i="4"/>
  <c r="F7" i="2"/>
  <c r="A1" i="4"/>
  <c r="E7" i="2"/>
  <c r="A3" i="2"/>
  <c r="D28" i="3"/>
  <c r="J28" i="3"/>
  <c r="B10" i="5"/>
  <c r="I23" i="9"/>
  <c r="C18" i="8"/>
  <c r="I3" i="5"/>
  <c r="K5" i="5"/>
  <c r="A16" i="5"/>
  <c r="A15" i="5"/>
  <c r="A18" i="5"/>
  <c r="F27" i="12"/>
  <c r="F21" i="12"/>
  <c r="F14" i="12"/>
  <c r="Q15" i="12"/>
  <c r="J9" i="2"/>
  <c r="D26" i="3"/>
  <c r="F27" i="8"/>
  <c r="A4" i="4"/>
  <c r="J27" i="3"/>
  <c r="C25" i="12"/>
  <c r="C24" i="12"/>
  <c r="D26" i="12"/>
  <c r="M12" i="3"/>
  <c r="F14" i="8"/>
  <c r="F21" i="8"/>
  <c r="L52" i="3"/>
  <c r="L57" i="3"/>
  <c r="B74" i="5"/>
  <c r="D70" i="5"/>
  <c r="D72" i="5"/>
  <c r="E10" i="4"/>
  <c r="J25" i="3"/>
  <c r="C25" i="3"/>
  <c r="D73" i="5"/>
  <c r="J11" i="4"/>
  <c r="I48" i="4"/>
  <c r="J48" i="4"/>
  <c r="A3" i="4"/>
  <c r="A3" i="6"/>
  <c r="H47" i="2"/>
  <c r="C47" i="4"/>
  <c r="D48" i="4"/>
  <c r="F25" i="5"/>
  <c r="D71" i="5"/>
  <c r="D29" i="3"/>
  <c r="D30" i="3"/>
  <c r="D31" i="3"/>
  <c r="D27" i="3"/>
  <c r="L8" i="4"/>
  <c r="N8" i="4"/>
  <c r="L11" i="4"/>
  <c r="K48" i="4"/>
  <c r="L48" i="4"/>
  <c r="N11" i="4"/>
  <c r="M48" i="4"/>
  <c r="N48" i="4"/>
  <c r="H11" i="4"/>
  <c r="P11" i="4"/>
  <c r="O48" i="4"/>
  <c r="P48" i="4"/>
  <c r="N6" i="4"/>
  <c r="J29" i="3"/>
  <c r="J32" i="3"/>
  <c r="J31" i="3"/>
  <c r="D22" i="4"/>
  <c r="J30" i="3"/>
  <c r="D21" i="4"/>
  <c r="J34" i="3"/>
  <c r="D69" i="5"/>
  <c r="D34" i="3"/>
  <c r="Q44" i="4"/>
  <c r="Q39" i="4"/>
  <c r="Q42" i="4"/>
  <c r="Q40" i="4"/>
  <c r="Q45" i="4"/>
  <c r="Q43" i="4"/>
  <c r="Q24" i="4"/>
  <c r="Q36" i="4"/>
  <c r="Q35" i="4"/>
  <c r="Q34" i="4"/>
  <c r="Q33" i="4"/>
  <c r="Q31" i="4"/>
  <c r="Q30" i="4"/>
  <c r="D26" i="4"/>
  <c r="H23" i="9"/>
  <c r="H26" i="3"/>
  <c r="B26" i="3"/>
  <c r="Q16" i="12"/>
  <c r="P16" i="12"/>
  <c r="Q17" i="12"/>
  <c r="P17" i="12"/>
  <c r="C31" i="8"/>
  <c r="C31" i="12"/>
  <c r="C30" i="12"/>
  <c r="R16" i="12"/>
  <c r="E25" i="12"/>
  <c r="F25" i="12"/>
  <c r="G25" i="12"/>
  <c r="H25" i="12"/>
  <c r="I25" i="12"/>
  <c r="J25" i="12"/>
  <c r="K25" i="12"/>
  <c r="L27" i="3"/>
  <c r="C30" i="8"/>
  <c r="Q15" i="8"/>
  <c r="P16" i="8"/>
  <c r="Q16" i="8"/>
  <c r="Q17" i="8"/>
  <c r="P17" i="8"/>
  <c r="R17" i="8"/>
  <c r="C25" i="8"/>
  <c r="C24" i="8"/>
  <c r="D32" i="8"/>
  <c r="G36" i="4"/>
  <c r="H36" i="4"/>
  <c r="D41" i="4"/>
  <c r="Q41" i="4"/>
  <c r="R41" i="4"/>
  <c r="J26" i="3"/>
  <c r="C19" i="12"/>
  <c r="C17" i="12"/>
  <c r="D20" i="12"/>
  <c r="D87" i="5"/>
  <c r="D88" i="5"/>
  <c r="I42" i="4"/>
  <c r="J42" i="4"/>
  <c r="D74" i="5"/>
  <c r="E69" i="5"/>
  <c r="D23" i="4"/>
  <c r="Q23" i="4"/>
  <c r="R23" i="4"/>
  <c r="D20" i="4"/>
  <c r="G20" i="4"/>
  <c r="H20" i="4"/>
  <c r="E48" i="4"/>
  <c r="M31" i="4"/>
  <c r="N31" i="4"/>
  <c r="I24" i="4"/>
  <c r="J24" i="4"/>
  <c r="K32" i="4"/>
  <c r="L32" i="4"/>
  <c r="I31" i="4"/>
  <c r="J31" i="4"/>
  <c r="E11" i="4"/>
  <c r="M24" i="4"/>
  <c r="N24" i="4"/>
  <c r="K22" i="4"/>
  <c r="L22" i="4"/>
  <c r="O45" i="4"/>
  <c r="P45" i="4"/>
  <c r="F11" i="4"/>
  <c r="M32" i="4"/>
  <c r="N32" i="4"/>
  <c r="O34" i="4"/>
  <c r="P34" i="4"/>
  <c r="O35" i="4"/>
  <c r="P35" i="4"/>
  <c r="O39" i="4"/>
  <c r="P39" i="4"/>
  <c r="G24" i="4"/>
  <c r="H24" i="4"/>
  <c r="G40" i="4"/>
  <c r="H40" i="4"/>
  <c r="K39" i="4"/>
  <c r="L39" i="4"/>
  <c r="G31" i="4"/>
  <c r="H31" i="4"/>
  <c r="O29" i="4"/>
  <c r="P29" i="4"/>
  <c r="I29" i="4"/>
  <c r="J29" i="4"/>
  <c r="R29" i="4"/>
  <c r="T27" i="4"/>
  <c r="T26" i="4"/>
  <c r="T51" i="4"/>
  <c r="T53" i="4"/>
  <c r="G33" i="4"/>
  <c r="R35" i="4"/>
  <c r="K40" i="4"/>
  <c r="L40" i="4"/>
  <c r="I39" i="4"/>
  <c r="J39" i="4"/>
  <c r="G45" i="4"/>
  <c r="H45" i="4"/>
  <c r="I35" i="4"/>
  <c r="J35" i="4"/>
  <c r="G32" i="4"/>
  <c r="H32" i="4"/>
  <c r="K29" i="4"/>
  <c r="L29" i="4"/>
  <c r="M28" i="4"/>
  <c r="N28" i="4"/>
  <c r="I33" i="4"/>
  <c r="J33" i="4"/>
  <c r="K35" i="4"/>
  <c r="L35" i="4"/>
  <c r="G43" i="4"/>
  <c r="H43" i="4"/>
  <c r="I40" i="4"/>
  <c r="J40" i="4"/>
  <c r="M29" i="4"/>
  <c r="N29" i="4"/>
  <c r="R40" i="4"/>
  <c r="G30" i="4"/>
  <c r="H30" i="4"/>
  <c r="K33" i="4"/>
  <c r="L33" i="4"/>
  <c r="I36" i="4"/>
  <c r="J36" i="4"/>
  <c r="O43" i="4"/>
  <c r="P43" i="4"/>
  <c r="O40" i="4"/>
  <c r="P40" i="4"/>
  <c r="I44" i="4"/>
  <c r="J44" i="4"/>
  <c r="G28" i="4"/>
  <c r="H28" i="4"/>
  <c r="M39" i="4"/>
  <c r="R30" i="4"/>
  <c r="O33" i="4"/>
  <c r="P33" i="4"/>
  <c r="I43" i="4"/>
  <c r="J43" i="4"/>
  <c r="M40" i="4"/>
  <c r="N40" i="4"/>
  <c r="G44" i="4"/>
  <c r="H44" i="4"/>
  <c r="G35" i="4"/>
  <c r="H35" i="4"/>
  <c r="G29" i="4"/>
  <c r="M35" i="4"/>
  <c r="N35" i="4"/>
  <c r="M30" i="4"/>
  <c r="N30" i="4"/>
  <c r="R33" i="4"/>
  <c r="O36" i="4"/>
  <c r="P36" i="4"/>
  <c r="M43" i="4"/>
  <c r="N43" i="4"/>
  <c r="M42" i="4"/>
  <c r="N42" i="4"/>
  <c r="I30" i="4"/>
  <c r="J30" i="4"/>
  <c r="M33" i="4"/>
  <c r="N33" i="4"/>
  <c r="K43" i="4"/>
  <c r="L43" i="4"/>
  <c r="R42" i="4"/>
  <c r="O24" i="4"/>
  <c r="P24" i="4"/>
  <c r="K24" i="4"/>
  <c r="L24" i="4"/>
  <c r="O30" i="4"/>
  <c r="P30" i="4"/>
  <c r="R34" i="4"/>
  <c r="R24" i="4"/>
  <c r="R43" i="4"/>
  <c r="G39" i="4"/>
  <c r="H39" i="4"/>
  <c r="O32" i="4"/>
  <c r="P32" i="4"/>
  <c r="I28" i="4"/>
  <c r="J28" i="4"/>
  <c r="K31" i="4"/>
  <c r="L31" i="4"/>
  <c r="K34" i="4"/>
  <c r="L34" i="4"/>
  <c r="M45" i="4"/>
  <c r="N45" i="4"/>
  <c r="O42" i="4"/>
  <c r="P42" i="4"/>
  <c r="K44" i="4"/>
  <c r="L44" i="4"/>
  <c r="O21" i="4"/>
  <c r="P21" i="4"/>
  <c r="O28" i="4"/>
  <c r="P28" i="4"/>
  <c r="O31" i="4"/>
  <c r="P31" i="4"/>
  <c r="M34" i="4"/>
  <c r="N34" i="4"/>
  <c r="K36" i="4"/>
  <c r="L36" i="4"/>
  <c r="R45" i="4"/>
  <c r="K42" i="4"/>
  <c r="L42" i="4"/>
  <c r="O44" i="4"/>
  <c r="P44" i="4"/>
  <c r="K28" i="4"/>
  <c r="R31" i="4"/>
  <c r="I34" i="4"/>
  <c r="J34" i="4"/>
  <c r="M36" i="4"/>
  <c r="N36" i="4"/>
  <c r="I45" i="4"/>
  <c r="J45" i="4"/>
  <c r="G42" i="4"/>
  <c r="H42" i="4"/>
  <c r="M44" i="4"/>
  <c r="N44" i="4"/>
  <c r="K30" i="4"/>
  <c r="L30" i="4"/>
  <c r="I32" i="4"/>
  <c r="J32" i="4"/>
  <c r="G34" i="4"/>
  <c r="R36" i="4"/>
  <c r="K45" i="4"/>
  <c r="L45" i="4"/>
  <c r="R44" i="4"/>
  <c r="O22" i="4"/>
  <c r="P22" i="4"/>
  <c r="Q22" i="4"/>
  <c r="R22" i="4"/>
  <c r="M21" i="4"/>
  <c r="N21" i="4"/>
  <c r="I21" i="4"/>
  <c r="J21" i="4"/>
  <c r="G21" i="4"/>
  <c r="Q21" i="4"/>
  <c r="R21" i="4"/>
  <c r="K21" i="4"/>
  <c r="L21" i="4"/>
  <c r="G22" i="4"/>
  <c r="H22" i="4"/>
  <c r="I22" i="4"/>
  <c r="J22" i="4"/>
  <c r="M22" i="4"/>
  <c r="N22" i="4"/>
  <c r="R39" i="4"/>
  <c r="Q26" i="4"/>
  <c r="C19" i="8"/>
  <c r="C15" i="8"/>
  <c r="C9" i="8"/>
  <c r="Q18" i="12"/>
  <c r="Q19" i="12"/>
  <c r="D49" i="12"/>
  <c r="R17" i="12"/>
  <c r="D32" i="12"/>
  <c r="E31" i="12"/>
  <c r="F31" i="12"/>
  <c r="G31" i="12"/>
  <c r="H31" i="12"/>
  <c r="I31" i="12"/>
  <c r="J31" i="12"/>
  <c r="K31" i="12"/>
  <c r="R16" i="8"/>
  <c r="E31" i="8"/>
  <c r="Q18" i="8"/>
  <c r="E25" i="8"/>
  <c r="D26" i="8"/>
  <c r="E36" i="4"/>
  <c r="O41" i="4"/>
  <c r="P41" i="4"/>
  <c r="P38" i="4"/>
  <c r="E73" i="5"/>
  <c r="E71" i="5"/>
  <c r="E72" i="5"/>
  <c r="F82" i="5"/>
  <c r="G82" i="5"/>
  <c r="F83" i="5"/>
  <c r="G83" i="5"/>
  <c r="F84" i="5"/>
  <c r="G84" i="5"/>
  <c r="F85" i="5"/>
  <c r="G85" i="5"/>
  <c r="F81" i="5"/>
  <c r="K23" i="4"/>
  <c r="L23" i="4"/>
  <c r="I20" i="4"/>
  <c r="J20" i="4"/>
  <c r="E70" i="5"/>
  <c r="D76" i="5"/>
  <c r="K20" i="4"/>
  <c r="L20" i="4"/>
  <c r="M23" i="4"/>
  <c r="N23" i="4"/>
  <c r="Q38" i="4"/>
  <c r="D38" i="4"/>
  <c r="K41" i="4"/>
  <c r="L41" i="4"/>
  <c r="L38" i="4"/>
  <c r="O20" i="4"/>
  <c r="P20" i="4"/>
  <c r="M20" i="4"/>
  <c r="N20" i="4"/>
  <c r="P26" i="4"/>
  <c r="I41" i="4"/>
  <c r="J41" i="4"/>
  <c r="J38" i="4"/>
  <c r="G23" i="4"/>
  <c r="H23" i="4"/>
  <c r="I23" i="4"/>
  <c r="J23" i="4"/>
  <c r="O23" i="4"/>
  <c r="P23" i="4"/>
  <c r="G26" i="4"/>
  <c r="G41" i="4"/>
  <c r="M41" i="4"/>
  <c r="N41" i="4"/>
  <c r="Q20" i="4"/>
  <c r="R20" i="4"/>
  <c r="R16" i="4"/>
  <c r="J61" i="3"/>
  <c r="J36" i="9"/>
  <c r="J65" i="3"/>
  <c r="J37" i="9"/>
  <c r="E33" i="4"/>
  <c r="O26" i="4"/>
  <c r="E40" i="4"/>
  <c r="E39" i="4"/>
  <c r="M26" i="4"/>
  <c r="E31" i="4"/>
  <c r="E29" i="4"/>
  <c r="E30" i="4"/>
  <c r="H29" i="4"/>
  <c r="R26" i="4"/>
  <c r="E28" i="4"/>
  <c r="E43" i="4"/>
  <c r="E42" i="4"/>
  <c r="H33" i="4"/>
  <c r="E24" i="4"/>
  <c r="E35" i="4"/>
  <c r="N39" i="4"/>
  <c r="K26" i="4"/>
  <c r="E32" i="4"/>
  <c r="L28" i="4"/>
  <c r="L26" i="4"/>
  <c r="R38" i="4"/>
  <c r="E45" i="4"/>
  <c r="J26" i="4"/>
  <c r="I26" i="4"/>
  <c r="E34" i="4"/>
  <c r="N26" i="4"/>
  <c r="H34" i="4"/>
  <c r="E44" i="4"/>
  <c r="E21" i="4"/>
  <c r="H21" i="4"/>
  <c r="E22" i="4"/>
  <c r="P14" i="8"/>
  <c r="P15" i="8"/>
  <c r="P18" i="8"/>
  <c r="P19" i="8"/>
  <c r="E9" i="12"/>
  <c r="C17" i="8"/>
  <c r="E9" i="8"/>
  <c r="F9" i="8"/>
  <c r="C43" i="8"/>
  <c r="C39" i="8"/>
  <c r="C41" i="8"/>
  <c r="F31" i="8"/>
  <c r="G31" i="8"/>
  <c r="H31" i="8"/>
  <c r="F25" i="8"/>
  <c r="G25" i="8"/>
  <c r="H25" i="8"/>
  <c r="I25" i="8"/>
  <c r="J25" i="8"/>
  <c r="K25" i="8"/>
  <c r="H26" i="4"/>
  <c r="O38" i="4"/>
  <c r="K38" i="4"/>
  <c r="F88" i="5"/>
  <c r="G81" i="5"/>
  <c r="H85" i="5"/>
  <c r="N24" i="3"/>
  <c r="G24" i="9"/>
  <c r="H84" i="5"/>
  <c r="N23" i="3"/>
  <c r="F24" i="9"/>
  <c r="H83" i="5"/>
  <c r="N22" i="3"/>
  <c r="E24" i="9"/>
  <c r="H82" i="5"/>
  <c r="N21" i="3"/>
  <c r="D24" i="9"/>
  <c r="H41" i="4"/>
  <c r="H38" i="4"/>
  <c r="E41" i="4"/>
  <c r="E38" i="4"/>
  <c r="I38" i="4"/>
  <c r="Q16" i="4"/>
  <c r="E20" i="4"/>
  <c r="M38" i="4"/>
  <c r="N38" i="4"/>
  <c r="G38" i="4"/>
  <c r="E23" i="4"/>
  <c r="E26" i="4"/>
  <c r="R51" i="4"/>
  <c r="R53" i="4"/>
  <c r="D20" i="8"/>
  <c r="E39" i="8"/>
  <c r="E41" i="8"/>
  <c r="E39" i="12"/>
  <c r="E41" i="12"/>
  <c r="E19" i="12"/>
  <c r="F19" i="12"/>
  <c r="G19" i="12"/>
  <c r="H19" i="12"/>
  <c r="I19" i="12"/>
  <c r="J19" i="12"/>
  <c r="K19" i="12"/>
  <c r="R14" i="12"/>
  <c r="R15" i="12"/>
  <c r="R18" i="12"/>
  <c r="R19" i="12"/>
  <c r="E49" i="12"/>
  <c r="E43" i="12"/>
  <c r="P14" i="12"/>
  <c r="C43" i="12"/>
  <c r="P15" i="12"/>
  <c r="P18" i="12"/>
  <c r="P19" i="12"/>
  <c r="C49" i="12"/>
  <c r="C39" i="12"/>
  <c r="C41" i="12"/>
  <c r="R15" i="8"/>
  <c r="R18" i="8"/>
  <c r="E19" i="8"/>
  <c r="I31" i="8"/>
  <c r="C49" i="8"/>
  <c r="E43" i="8"/>
  <c r="D43" i="8"/>
  <c r="R14" i="8"/>
  <c r="Q14" i="8"/>
  <c r="D41" i="8"/>
  <c r="H81" i="5"/>
  <c r="H88" i="5"/>
  <c r="N20" i="3"/>
  <c r="C24" i="9"/>
  <c r="I61" i="3"/>
  <c r="I36" i="9"/>
  <c r="I65" i="3"/>
  <c r="I37" i="9"/>
  <c r="C44" i="12"/>
  <c r="D45" i="12"/>
  <c r="E45" i="12"/>
  <c r="F19" i="8"/>
  <c r="G19" i="8"/>
  <c r="H19" i="8"/>
  <c r="R19" i="8"/>
  <c r="D18" i="4"/>
  <c r="M18" i="4"/>
  <c r="N18" i="4"/>
  <c r="C32" i="9"/>
  <c r="J31" i="8"/>
  <c r="K31" i="8"/>
  <c r="L34" i="3"/>
  <c r="C44" i="8"/>
  <c r="C45" i="8"/>
  <c r="Q19" i="8"/>
  <c r="D49" i="8"/>
  <c r="E49" i="8"/>
  <c r="K18" i="4"/>
  <c r="L18" i="4"/>
  <c r="C45" i="12"/>
  <c r="O18" i="4"/>
  <c r="P18" i="4"/>
  <c r="C47" i="12"/>
  <c r="C48" i="12"/>
  <c r="F48" i="12"/>
  <c r="E45" i="8"/>
  <c r="D45" i="8"/>
  <c r="G18" i="4"/>
  <c r="H18" i="4"/>
  <c r="I18" i="4"/>
  <c r="J18" i="4"/>
  <c r="D19" i="4"/>
  <c r="U19" i="4"/>
  <c r="V19" i="4"/>
  <c r="V51" i="4"/>
  <c r="H32" i="9"/>
  <c r="C47" i="8"/>
  <c r="C48" i="8"/>
  <c r="F48" i="8"/>
  <c r="I19" i="8"/>
  <c r="J19" i="8"/>
  <c r="K19" i="8"/>
  <c r="L26" i="3"/>
  <c r="K61" i="3"/>
  <c r="K36" i="9"/>
  <c r="V53" i="4"/>
  <c r="K65" i="3"/>
  <c r="K37" i="9"/>
  <c r="E18" i="4"/>
  <c r="B32" i="9"/>
  <c r="F76" i="5"/>
  <c r="F73" i="5"/>
  <c r="D17" i="4"/>
  <c r="G17" i="4"/>
  <c r="G16" i="4"/>
  <c r="I17" i="4"/>
  <c r="I16" i="4"/>
  <c r="M17" i="4"/>
  <c r="N17" i="4"/>
  <c r="N16" i="4"/>
  <c r="N47" i="4"/>
  <c r="F69" i="5"/>
  <c r="F71" i="5"/>
  <c r="F70" i="5"/>
  <c r="F72" i="5"/>
  <c r="O17" i="4"/>
  <c r="D16" i="4"/>
  <c r="K17" i="4"/>
  <c r="J17" i="4"/>
  <c r="J16" i="4"/>
  <c r="J47" i="4"/>
  <c r="I47" i="4"/>
  <c r="I49" i="4"/>
  <c r="J53" i="4"/>
  <c r="H53" i="4"/>
  <c r="N53" i="4"/>
  <c r="E65" i="3"/>
  <c r="M16" i="4"/>
  <c r="B26" i="5"/>
  <c r="H34" i="5"/>
  <c r="M47" i="4"/>
  <c r="M49" i="4"/>
  <c r="E17" i="4"/>
  <c r="F74" i="5"/>
  <c r="L17" i="4"/>
  <c r="L16" i="4"/>
  <c r="L47" i="4"/>
  <c r="L53" i="4"/>
  <c r="K16" i="4"/>
  <c r="O16" i="4"/>
  <c r="P17" i="4"/>
  <c r="P16" i="4"/>
  <c r="P47" i="4"/>
  <c r="P53" i="4"/>
  <c r="H17" i="4"/>
  <c r="H16" i="4"/>
  <c r="B24" i="5"/>
  <c r="H32" i="5"/>
  <c r="F37" i="9"/>
  <c r="C65" i="3"/>
  <c r="E16" i="4"/>
  <c r="D65" i="3"/>
  <c r="B25" i="5"/>
  <c r="H33" i="5"/>
  <c r="K47" i="4"/>
  <c r="K49" i="4"/>
  <c r="F65" i="3"/>
  <c r="O47" i="4"/>
  <c r="O49" i="4"/>
  <c r="B27" i="5"/>
  <c r="G37" i="9"/>
  <c r="E37" i="9"/>
  <c r="D37" i="9"/>
  <c r="E49" i="4"/>
  <c r="D47" i="4"/>
  <c r="D49" i="4"/>
  <c r="D35" i="5"/>
  <c r="E35" i="5"/>
  <c r="G35" i="5"/>
  <c r="H35" i="5"/>
  <c r="P49" i="4"/>
  <c r="P51" i="4"/>
  <c r="J49" i="4"/>
  <c r="H61" i="3"/>
  <c r="L49" i="4"/>
  <c r="L51" i="4"/>
  <c r="N49" i="4"/>
  <c r="N51" i="4"/>
  <c r="E61" i="3"/>
  <c r="D61" i="3"/>
  <c r="F61" i="3"/>
  <c r="H36" i="9"/>
  <c r="J51" i="4"/>
  <c r="C61" i="3"/>
  <c r="B23" i="5"/>
  <c r="B65" i="3"/>
  <c r="C37" i="9"/>
  <c r="G36" i="9"/>
  <c r="E36" i="9"/>
  <c r="F36" i="9"/>
  <c r="D36" i="9"/>
  <c r="H47" i="4"/>
  <c r="E31" i="5"/>
  <c r="D31" i="5"/>
  <c r="G47" i="4"/>
  <c r="E47" i="4"/>
  <c r="H51" i="4"/>
  <c r="B61" i="3"/>
  <c r="G31" i="5"/>
  <c r="H31" i="5"/>
  <c r="C3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Dietrich, Astrid</author>
  </authors>
  <commentList>
    <comment ref="E17" authorId="0" shapeId="0" xr:uid="{00000000-0006-0000-0500-000001000000}">
      <text>
        <r>
          <rPr>
            <sz val="8"/>
            <color indexed="81"/>
            <rFont val="Tahoma"/>
            <family val="2"/>
          </rPr>
          <t>Stolle, Simone:
Differenz ergibt sich aus Hundertstel VK-Diff. wegen Rundung Personalrelation auf 2 Nachkommastellen - ist nicht zu vermeiden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tc={D3CE25A5-146E-4629-9C3F-D641975C1BC1}</author>
  </authors>
  <commentList>
    <comment ref="B9" authorId="0" shapeId="0" xr:uid="{00000000-0006-0000-0A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für bedingte Formatierung</t>
      </text>
    </comment>
  </commentList>
</comments>
</file>

<file path=xl/sharedStrings.xml><?xml version="1.0" encoding="utf-8"?>
<sst xmlns="http://schemas.openxmlformats.org/spreadsheetml/2006/main" count="1104" uniqueCount="758">
  <si>
    <t>Allgemeine Angaben</t>
  </si>
  <si>
    <t>Art der Einrichtung:</t>
  </si>
  <si>
    <t>Institutionskennzeichen:</t>
  </si>
  <si>
    <t>Allgemeine Angaben zur Pflegeeinrichtung und zum Träger</t>
  </si>
  <si>
    <t>Name der Einrichtung</t>
  </si>
  <si>
    <t>Straße</t>
  </si>
  <si>
    <t>PLZ, Ort</t>
  </si>
  <si>
    <t>Telefon</t>
  </si>
  <si>
    <t>Fax</t>
  </si>
  <si>
    <t>E-Mail</t>
  </si>
  <si>
    <t>PDL</t>
  </si>
  <si>
    <t>In Trägerschaft von:</t>
  </si>
  <si>
    <t>Name des Trägers</t>
  </si>
  <si>
    <t>Zugehörigkeit zu einer Vereinigung von Trägern von stationären Pflegeeinrichtungen im Land</t>
  </si>
  <si>
    <t>Wenn ja, welche?</t>
  </si>
  <si>
    <t>Hiermit erteilen wir o.g. Vereinigung Verhandlungsmandat</t>
  </si>
  <si>
    <t>Platzzahl der Pflegeeinrichtung entsprechend des Versorgungsvertrages:</t>
  </si>
  <si>
    <t>Pflegeeinrichtungskonzeption Stand:</t>
  </si>
  <si>
    <t>ist als Anlage beigefügt</t>
  </si>
  <si>
    <t>von</t>
  </si>
  <si>
    <t>bis</t>
  </si>
  <si>
    <t>AOK PLUS</t>
  </si>
  <si>
    <t>vdek</t>
  </si>
  <si>
    <t>BKK</t>
  </si>
  <si>
    <t>IKK</t>
  </si>
  <si>
    <t>Knappschaft</t>
  </si>
  <si>
    <t>PKV</t>
  </si>
  <si>
    <t>Sonstige Sozialversicherungsträger</t>
  </si>
  <si>
    <t>jährliche Öffnungstage:</t>
  </si>
  <si>
    <t>Plätze:</t>
  </si>
  <si>
    <t>Wachkoma</t>
  </si>
  <si>
    <t>2.</t>
  </si>
  <si>
    <t>Küche</t>
  </si>
  <si>
    <t>Haustechnik</t>
  </si>
  <si>
    <t>Wäscherei</t>
  </si>
  <si>
    <t>Reinigung</t>
  </si>
  <si>
    <t>Verwaltung</t>
  </si>
  <si>
    <t>2.1</t>
  </si>
  <si>
    <t>Lebensmittel</t>
  </si>
  <si>
    <t>2.2</t>
  </si>
  <si>
    <t>Pflegerischer Bedarf</t>
  </si>
  <si>
    <t>2.3</t>
  </si>
  <si>
    <t>2.4</t>
  </si>
  <si>
    <t>Verwaltungsbedarf</t>
  </si>
  <si>
    <t>2.5</t>
  </si>
  <si>
    <t>Zentrale Verwaltungsdienste</t>
  </si>
  <si>
    <t>2.6</t>
  </si>
  <si>
    <t>Betreuungsaufwand</t>
  </si>
  <si>
    <t>2.7</t>
  </si>
  <si>
    <t>Wirtschaftsbedarf</t>
  </si>
  <si>
    <t>2.8</t>
  </si>
  <si>
    <t>Steuern/Abgaben/Versicherungen</t>
  </si>
  <si>
    <t>2.9</t>
  </si>
  <si>
    <t>Wartung (keine Instandhaltung)</t>
  </si>
  <si>
    <t>2.10</t>
  </si>
  <si>
    <t>sonstige Aufwendungen</t>
  </si>
  <si>
    <t>Divisor:</t>
  </si>
  <si>
    <t>Pflegegrad 1</t>
  </si>
  <si>
    <t>Pflegegrad 2</t>
  </si>
  <si>
    <t>Pflegegrad 3</t>
  </si>
  <si>
    <t>Pflegegrad 4</t>
  </si>
  <si>
    <t>Pflegegrad 5</t>
  </si>
  <si>
    <t>Hauswirtschaft</t>
  </si>
  <si>
    <t>Pflegegrad 1:</t>
  </si>
  <si>
    <t>Pflegegrad 2:</t>
  </si>
  <si>
    <t>Pflegegrad 3:</t>
  </si>
  <si>
    <t>Pflegegrad 4:</t>
  </si>
  <si>
    <t>Pflegegrad 5:</t>
  </si>
  <si>
    <t>Ort, Datum</t>
  </si>
  <si>
    <t>Gesamtkalkulation</t>
  </si>
  <si>
    <t>GELBER TEIL</t>
  </si>
  <si>
    <t>Gesamtplätze:</t>
  </si>
  <si>
    <t>WIRD AUS-</t>
  </si>
  <si>
    <t>Tage/Monat</t>
  </si>
  <si>
    <t>GEBLENDET</t>
  </si>
  <si>
    <t>Leistungsbetrag § 43 SGB XI (nur vollstationär):</t>
  </si>
  <si>
    <t>Aufwendungen für Leistungen im Pflegegrad 1</t>
  </si>
  <si>
    <t>Aufwendungen für Leistungen im Pflegegrad 2</t>
  </si>
  <si>
    <t>Aufwendungen für Leistungen im Pflegegrad 3</t>
  </si>
  <si>
    <t>Aufwendungen für Leistungen im Pflegegrad 4</t>
  </si>
  <si>
    <t>Aufwendungen für Leistungen im Pflegegrad 5</t>
  </si>
  <si>
    <t>Aufwendungen für die Unterkunft</t>
  </si>
  <si>
    <t>Aufwendungen für die Verpflegung</t>
  </si>
  <si>
    <t>Gesamtaufwendungen</t>
  </si>
  <si>
    <t>Plausi Ges.</t>
  </si>
  <si>
    <t>Gesamt in €</t>
  </si>
  <si>
    <t xml:space="preserve">1. </t>
  </si>
  <si>
    <t>1.1.</t>
  </si>
  <si>
    <t>1.2.</t>
  </si>
  <si>
    <t>1.3.</t>
  </si>
  <si>
    <t>1.4.</t>
  </si>
  <si>
    <t>1.5.</t>
  </si>
  <si>
    <t>1.6.</t>
  </si>
  <si>
    <t>1.7.</t>
  </si>
  <si>
    <t>Sachaufwendungen</t>
  </si>
  <si>
    <t xml:space="preserve">3. </t>
  </si>
  <si>
    <t>Fremdleistungen / Trägerleistungen</t>
  </si>
  <si>
    <t>Umsatz Leistungsbeträge § 43 SGB XI:</t>
  </si>
  <si>
    <t xml:space="preserve"> Budget Eigenanteil nach Pflegegraden:</t>
  </si>
  <si>
    <t>errechnete Pflegesätze (Tag je Platz):</t>
  </si>
  <si>
    <t>Unterkunft:</t>
  </si>
  <si>
    <t>Verpflegung:</t>
  </si>
  <si>
    <t xml:space="preserve">   (ohne Ausbildungsvergütung nach § 82a SGB XI)</t>
  </si>
  <si>
    <t>1.8.</t>
  </si>
  <si>
    <t>Stellungnahme der Bewohnervertretung gem. § 85 (3) SGB XI</t>
  </si>
  <si>
    <t>Bewohnervertretung</t>
  </si>
  <si>
    <t>Bewohnerfürsprecher *</t>
  </si>
  <si>
    <t>a)</t>
  </si>
  <si>
    <t xml:space="preserve">Schriftliche Stellungnahme liegt vor </t>
  </si>
  <si>
    <t>Ja</t>
  </si>
  <si>
    <t>weitere Angaben unter c) oder als Anlage erforderlich</t>
  </si>
  <si>
    <t>Nein</t>
  </si>
  <si>
    <t>weitere Angaben unter b) erforderlich</t>
  </si>
  <si>
    <t>b)</t>
  </si>
  <si>
    <t>Begründung für Nichtvorlage der schriftlichen Stellungnahme</t>
  </si>
  <si>
    <t xml:space="preserve">Gelegenheit zur Stellungnahme wurde eingeräumt, </t>
  </si>
  <si>
    <t>Bewohnervertretung oder Bewohnerfürsprecher nicht vorhanden,</t>
  </si>
  <si>
    <t>c)</t>
  </si>
  <si>
    <t>Einbeziehung der Bewohnervertretung / des Bewohnerfürsprechers:</t>
  </si>
  <si>
    <t>Stellungnahme der Bewohnervertretung / des Bewohnerfürsprechers:</t>
  </si>
  <si>
    <t>Unterschrift des Vorsitzenden der Bewohnervertretung</t>
  </si>
  <si>
    <t>oder des Bewohnerfürsprechers</t>
  </si>
  <si>
    <t>Einrichtungsart</t>
  </si>
  <si>
    <t>Kreuz</t>
  </si>
  <si>
    <t>Öffnungstage</t>
  </si>
  <si>
    <t>Auslastung</t>
  </si>
  <si>
    <t>Ja/Nein</t>
  </si>
  <si>
    <t xml:space="preserve">vollstationäre Pflege </t>
  </si>
  <si>
    <t>x</t>
  </si>
  <si>
    <t>ja</t>
  </si>
  <si>
    <t>4. Generation</t>
  </si>
  <si>
    <t>nein</t>
  </si>
  <si>
    <t>teilstationäre Pflege</t>
  </si>
  <si>
    <t>Kurzzeitpflege</t>
  </si>
  <si>
    <t>Pflegeeinrichtung:</t>
  </si>
  <si>
    <t>Einrichtungsleitung</t>
  </si>
  <si>
    <t>Web-Adresse</t>
  </si>
  <si>
    <t>bis:</t>
  </si>
  <si>
    <t>Pflege inklusive QM</t>
  </si>
  <si>
    <t>Betreuung</t>
  </si>
  <si>
    <t>ANT am PS</t>
  </si>
  <si>
    <t>Divisor allg</t>
  </si>
  <si>
    <t>§ 43b:</t>
  </si>
  <si>
    <t>Aufwendungen für § 43b</t>
  </si>
  <si>
    <t>Der vorliegende Antrag auf Abschluss einer neuen Pflegesatzvereinbarung, die zu einer Erhöhung der</t>
  </si>
  <si>
    <t>Entgelte für Pflege, Unterkunft, Verpflegung und des einrichtungseinheitlichen Eigenanteils in vollstationären</t>
  </si>
  <si>
    <t xml:space="preserve">Einrichtungen nach § 43 führen kann, wurde uns vom Einrichtungsträger vorgelegt und erläutert. Die dem   </t>
  </si>
  <si>
    <t xml:space="preserve">Antrag zugrunde liegenden Einzelpositionen, der Umlagemaßstab sowie die Antragsbegründung wurden </t>
  </si>
  <si>
    <t>ausführlich dargestellt und auf die Möglichkeit an der Pflegesatzverhandlung teilzunehmen hingewiesen.</t>
  </si>
  <si>
    <t>(gilt nur für vollstationäre Pflegeeinrichtungen)</t>
  </si>
  <si>
    <t>§ 43b SGB XI:</t>
  </si>
  <si>
    <r>
      <t xml:space="preserve">Aufwendungen für Leistungen im </t>
    </r>
    <r>
      <rPr>
        <b/>
        <sz val="10"/>
        <color theme="1"/>
        <rFont val="Arial"/>
        <family val="2"/>
      </rPr>
      <t>Pflegegrad 1</t>
    </r>
  </si>
  <si>
    <r>
      <t>Aufwendungen für Leistungen im</t>
    </r>
    <r>
      <rPr>
        <b/>
        <sz val="10"/>
        <color theme="1"/>
        <rFont val="Arial"/>
        <family val="2"/>
      </rPr>
      <t xml:space="preserve"> Pflegegrad 2</t>
    </r>
  </si>
  <si>
    <r>
      <t xml:space="preserve">Aufwendungen für Leistungen im </t>
    </r>
    <r>
      <rPr>
        <b/>
        <sz val="10"/>
        <color theme="1"/>
        <rFont val="Arial"/>
        <family val="2"/>
      </rPr>
      <t>Pflegegrad 3</t>
    </r>
  </si>
  <si>
    <r>
      <t xml:space="preserve">Aufwendungen für Leistungen im </t>
    </r>
    <r>
      <rPr>
        <b/>
        <sz val="10"/>
        <color theme="1"/>
        <rFont val="Arial"/>
        <family val="2"/>
      </rPr>
      <t>Pflegegrad 4</t>
    </r>
  </si>
  <si>
    <r>
      <t>Aufwendungen für Leistungen im</t>
    </r>
    <r>
      <rPr>
        <b/>
        <sz val="10"/>
        <color theme="1"/>
        <rFont val="Arial"/>
        <family val="2"/>
      </rPr>
      <t xml:space="preserve"> Pflegegrad 5</t>
    </r>
  </si>
  <si>
    <r>
      <t xml:space="preserve">Aufwendungen für die 
</t>
    </r>
    <r>
      <rPr>
        <b/>
        <sz val="10"/>
        <color theme="1"/>
        <rFont val="Arial"/>
        <family val="2"/>
      </rPr>
      <t>Unterkunft</t>
    </r>
  </si>
  <si>
    <r>
      <t xml:space="preserve">Aufwendungen für die 
</t>
    </r>
    <r>
      <rPr>
        <b/>
        <sz val="10"/>
        <color theme="1"/>
        <rFont val="Arial"/>
        <family val="2"/>
      </rPr>
      <t>Verpflegung</t>
    </r>
  </si>
  <si>
    <r>
      <t xml:space="preserve">Aufwendungen für 
</t>
    </r>
    <r>
      <rPr>
        <b/>
        <sz val="10"/>
        <color theme="1"/>
        <rFont val="Arial"/>
        <family val="2"/>
      </rPr>
      <t>§ 43b</t>
    </r>
  </si>
  <si>
    <t>Pflegekassen</t>
  </si>
  <si>
    <t xml:space="preserve">davon Träger der Sozialhilfe in %   </t>
  </si>
  <si>
    <t xml:space="preserve">Parteien der Pflegesatzvereinbarung (gem. § 85 Abs. 2 SGB XI) </t>
  </si>
  <si>
    <t>Anteil in %</t>
  </si>
  <si>
    <t>kalkulatorischer Auslastungsgrad:</t>
  </si>
  <si>
    <t>* Im Sinne der besseren Lesbarkeit wurde stellvertretend für beide Geschlechtsformen durchgehend nur die männliche Form verwendet.</t>
  </si>
  <si>
    <t>Bewohnervertretung oder Bewohnerfürsprecher haben diese nicht wahrgenommen</t>
  </si>
  <si>
    <t>(schriftliche Mitteilung des Trägers der Einrichtung an die zuständige Behörde beifügen)</t>
  </si>
  <si>
    <t xml:space="preserve">Adressverzeichnis der Parteien der Pflegesatzvereinbarung
gem. § 85 Abs. 2 SGB XI sowie von Vergütungen nach § 75 SGB XII
</t>
  </si>
  <si>
    <t>AOK PLUS - Die Gesundheitskasse für Sachsen und Thüringen</t>
  </si>
  <si>
    <t>Müllerstraße 41</t>
  </si>
  <si>
    <t>09113 Chemnitz</t>
  </si>
  <si>
    <t>IKK classic</t>
  </si>
  <si>
    <t>Postfach 10 02 51</t>
  </si>
  <si>
    <t>01072 Dresden</t>
  </si>
  <si>
    <t xml:space="preserve">Knappschaft </t>
  </si>
  <si>
    <t>Regionaldirektion Chemnitz</t>
  </si>
  <si>
    <t>Jagdschänkenstraße 50</t>
  </si>
  <si>
    <t>09117 Chemnitz</t>
  </si>
  <si>
    <t>Kommunaler Sozialverband Sachsen</t>
  </si>
  <si>
    <t>Arbeitsgemeinschaft Betriebskrankenkassen</t>
  </si>
  <si>
    <t>BKK-Landesverband Mitte</t>
  </si>
  <si>
    <t>Landesrepräsentanz Sachsen</t>
  </si>
  <si>
    <t>Dr.-Külz-Ring 12</t>
  </si>
  <si>
    <t>01219 Dresden</t>
  </si>
  <si>
    <t>Arbeitsgemeinschaft Ersatzkassen</t>
  </si>
  <si>
    <t>Mitglieder</t>
  </si>
  <si>
    <t>vdek - Landesvertretung Sachsen</t>
  </si>
  <si>
    <t>Glacisstr. 4</t>
  </si>
  <si>
    <t>Techniker Krankenkasse (TK)</t>
  </si>
  <si>
    <t>01099 Dresden</t>
  </si>
  <si>
    <t>DAK-Gesundheit</t>
  </si>
  <si>
    <t>Kaufmännische Krankenkasse - KKH</t>
  </si>
  <si>
    <t>Verband der Privaten Kranken-</t>
  </si>
  <si>
    <t>versicherung e.V.</t>
  </si>
  <si>
    <t>Glinkastr. 40</t>
  </si>
  <si>
    <t>10117 Berlin</t>
  </si>
  <si>
    <t>Barmer</t>
  </si>
  <si>
    <t>Handelskrankenkasse (hkk)</t>
  </si>
  <si>
    <t>HEK - Hanseatische Krankenkasse</t>
  </si>
  <si>
    <t>Äquivalenzen</t>
  </si>
  <si>
    <t>PG 1</t>
  </si>
  <si>
    <t>PG 5</t>
  </si>
  <si>
    <t>PG 4</t>
  </si>
  <si>
    <t>PG 3</t>
  </si>
  <si>
    <t>PG 2</t>
  </si>
  <si>
    <t>PG</t>
  </si>
  <si>
    <t>EEA-Divisor</t>
  </si>
  <si>
    <t>a</t>
  </si>
  <si>
    <t>b</t>
  </si>
  <si>
    <t>Faktor tst</t>
  </si>
  <si>
    <t>Leistungbetrag vst</t>
  </si>
  <si>
    <t>e</t>
  </si>
  <si>
    <t>Kennzeichen Einrichtungsart:</t>
  </si>
  <si>
    <t>Personalaufwendungen (ohne 1.3.)</t>
  </si>
  <si>
    <r>
      <t>Freiwillige Dienste, FSJ</t>
    </r>
    <r>
      <rPr>
        <b/>
        <sz val="10"/>
        <color rgb="FFFF0000"/>
        <rFont val="Arial"/>
        <family val="2"/>
      </rPr>
      <t xml:space="preserve"> </t>
    </r>
  </si>
  <si>
    <t>check/Psatz</t>
  </si>
  <si>
    <t>g</t>
  </si>
  <si>
    <t>f = "tst"</t>
  </si>
  <si>
    <t>f = "KZP"</t>
  </si>
  <si>
    <t>Rechnung mit Äquvalenzen (Rothgang bei vst und KZP, Faktor bei tst)</t>
  </si>
  <si>
    <t>Hochrechnung der Pflegesätze bei Nullbelegung fürTP+KZP</t>
  </si>
  <si>
    <t>vst. PE mit Nullbelegung =&gt; Psätze Ermittlung dr. EEE + Leistungsbetrag, Psatz für PG 1 = 0,78 von Psatz PG 2</t>
  </si>
  <si>
    <t>Überlegung:</t>
  </si>
  <si>
    <t>h</t>
  </si>
  <si>
    <t>Faktor KZP</t>
  </si>
  <si>
    <t>"2" = tst, "1" = vst,WK, 4. Generation , "3" = KZP</t>
  </si>
  <si>
    <t>Abstimmung vom 07.08.2017 mit folgender Entscheidung:</t>
  </si>
  <si>
    <t xml:space="preserve"> - die Herleitung der Psätze für tst + KZP analog der Herleitung der PR bei Nichtbelegung</t>
  </si>
  <si>
    <t xml:space="preserve">   führt in einzelnen Fällen nicht zu den gewünschten Ergebnissen (siehe Testergebnisse vom 05.08.2017)</t>
  </si>
  <si>
    <t xml:space="preserve"> =&gt; desh. ist bei KzP und tst. PE der PG 2 bis 4 zwindend zu belegen</t>
  </si>
  <si>
    <t>Erläuterung zur Verformelung:</t>
  </si>
  <si>
    <t xml:space="preserve">                b)bilde den Psatz PG 1 und PG 5 ab, sofern belegt </t>
  </si>
  <si>
    <t xml:space="preserve">                c) ist der PG 1 bzw. PG 5 nicht belegt, dann "0"</t>
  </si>
  <si>
    <t xml:space="preserve">2. (Spalte f "tst" und f "kzp") </t>
  </si>
  <si>
    <t xml:space="preserve">    gilt 1 b) dann wird der kalkulierte Psatz abgebildet</t>
  </si>
  <si>
    <t xml:space="preserve">    gilt 1 c) dann wird anhand der jeweiligen Faktoren "tst" und "kzp" </t>
  </si>
  <si>
    <t xml:space="preserve">                 der Psatz für PG 1 vom Psatz PG 2  hochgerechnet</t>
  </si>
  <si>
    <t xml:space="preserve">                 der Psatz für PG 5 vom Psatz PG 4 hochgerechnet</t>
  </si>
  <si>
    <t>3. (Spalte g)</t>
  </si>
  <si>
    <t xml:space="preserve">     bilde die Psätze PG 1 und PG 5 entsprechend des Einrichtungstyp "tst" o. </t>
  </si>
  <si>
    <t xml:space="preserve">    "KZP" ab</t>
  </si>
  <si>
    <t>4. (Spalte h)</t>
  </si>
  <si>
    <t xml:space="preserve">    bilde alle Psätze entspr. für den einrichtungstyp "tst" oder "Kzp" ab</t>
  </si>
  <si>
    <t>07.08.2017 - Ableitung der Psätze für tst. PE und KZP bei Nullbelegungen</t>
  </si>
  <si>
    <t>1. Check - a) bilde den Psatz für PG 2 - 4 ab, falls Belegung "0" dann LEER</t>
  </si>
  <si>
    <t>Ansprechpartner/ Funktion</t>
  </si>
  <si>
    <t>Stand 08.05.2018</t>
  </si>
  <si>
    <t>GB Pflege/Häusliche Krankenpflege</t>
  </si>
  <si>
    <t>Bereich Vertragsmanagement Pflege/HKP</t>
  </si>
  <si>
    <t>Team Vergütung Pflege/HKP</t>
  </si>
  <si>
    <t>Geschäftsbereich Pflege/Häusliche Krankenpflege</t>
  </si>
  <si>
    <t>Humboldtstraße 18</t>
  </si>
  <si>
    <t>04105 Leipzig</t>
  </si>
  <si>
    <t>vereinbarungen-pflege@ksv-sachsen.de</t>
  </si>
  <si>
    <t>Stand 7.6.18</t>
  </si>
  <si>
    <t>Zelle H53 neue Formel: =WENN(Belegung!E26&gt;0;Gesamtkalkulation!H47*0,96/0,9;J53*0,78) STATT BISHER: =WENN('Allgemeine Angaben'!$L$45&gt;0;Gesamtkalkulation!L47*0,96/0,9;"")</t>
  </si>
  <si>
    <t>Nachrichtliche Angaben zum Zeitpunkt der Antragstellung und nicht Gegenstand dieses Antrages</t>
  </si>
  <si>
    <t>vom:</t>
  </si>
  <si>
    <t>Relationen</t>
  </si>
  <si>
    <t>zusätzliche Betreuung und Aktivierung nach    § 43 b SGB XI:</t>
  </si>
  <si>
    <t>Belegung:</t>
  </si>
  <si>
    <t>Betreuung:</t>
  </si>
  <si>
    <t>Leitung/Verwaltung:</t>
  </si>
  <si>
    <t>Hauswirtschaft:</t>
  </si>
  <si>
    <t>Küche:</t>
  </si>
  <si>
    <t>Haustechnik:</t>
  </si>
  <si>
    <t>Personalkosten:</t>
  </si>
  <si>
    <t>zusätzliche Betreuung und Aktivierung nach       § 43 b SGB XI:</t>
  </si>
  <si>
    <t>Pflege gesamt:</t>
  </si>
  <si>
    <t>Funktionsbereich:</t>
  </si>
  <si>
    <t>gesamt:</t>
  </si>
  <si>
    <t>Stellen</t>
  </si>
  <si>
    <t>Personalausstattung:</t>
  </si>
  <si>
    <t>Freiwillige Dienste/FSJ Einsatz:</t>
  </si>
  <si>
    <t>Freiwillige Dienste/ FSJ Einsatz:</t>
  </si>
  <si>
    <t>€/VK / €/Stelle</t>
  </si>
  <si>
    <t>pflegerischer Sachbedarf</t>
  </si>
  <si>
    <t>Wasser, Energie, Brenntstoffe</t>
  </si>
  <si>
    <t>Gesamtsumme:</t>
  </si>
  <si>
    <t>2.1.</t>
  </si>
  <si>
    <t>2.2.</t>
  </si>
  <si>
    <t>2.3.</t>
  </si>
  <si>
    <t>2.4.</t>
  </si>
  <si>
    <t>2.5.</t>
  </si>
  <si>
    <t>2.6.</t>
  </si>
  <si>
    <t>2.7.</t>
  </si>
  <si>
    <t>2.8.</t>
  </si>
  <si>
    <t>2.9.</t>
  </si>
  <si>
    <t>2.10.</t>
  </si>
  <si>
    <t>Fremdleistungen/ Leistungen des Trägers</t>
  </si>
  <si>
    <t>sonstiges</t>
  </si>
  <si>
    <t>3.1.</t>
  </si>
  <si>
    <t>3.2.</t>
  </si>
  <si>
    <t>3.3.</t>
  </si>
  <si>
    <t>3.4.</t>
  </si>
  <si>
    <t>3.5.</t>
  </si>
  <si>
    <t>3.6.</t>
  </si>
  <si>
    <t>3.7.</t>
  </si>
  <si>
    <t>geforderte Pflegesätze:</t>
  </si>
  <si>
    <t>Unterkunft</t>
  </si>
  <si>
    <t>43 b SGB XI</t>
  </si>
  <si>
    <t>Beförderung:</t>
  </si>
  <si>
    <t>Vergütungszuschlag für:</t>
  </si>
  <si>
    <t>Datum</t>
  </si>
  <si>
    <t>Eigenanteil:</t>
  </si>
  <si>
    <t>Laufzeit:</t>
  </si>
  <si>
    <t>Belegung für angebundene Kurzzeitpflege:</t>
  </si>
  <si>
    <t>Vergütungszuschlag für angebundene KZP</t>
  </si>
  <si>
    <t>geforderte Pflegesätze für die angebundene Kurzzeitpflege (KZP):</t>
  </si>
  <si>
    <t>zusätzliche Betreuung und Aktivierung</t>
  </si>
  <si>
    <t>Leitung/ Verwaltung</t>
  </si>
  <si>
    <t>Wasser/ Energie/ Brennstoffe</t>
  </si>
  <si>
    <t>Steuern/ Abgaben/ Versicherungen</t>
  </si>
  <si>
    <r>
      <rPr>
        <sz val="10"/>
        <color theme="1"/>
        <rFont val="Arial"/>
        <family val="2"/>
      </rPr>
      <t>Wartung</t>
    </r>
    <r>
      <rPr>
        <sz val="9"/>
        <color theme="1"/>
        <rFont val="Arial"/>
        <family val="2"/>
      </rPr>
      <t xml:space="preserve"> (keine Instandhaltung)</t>
    </r>
  </si>
  <si>
    <t>Küche (ohne Pkt. 2.1)</t>
  </si>
  <si>
    <t>VK-Umfang für der PDL/stellv. PDL entsprechend RVT</t>
  </si>
  <si>
    <t>Plätze von</t>
  </si>
  <si>
    <t>Plätze bis</t>
  </si>
  <si>
    <t>VK</t>
  </si>
  <si>
    <t>VK PDL für PE</t>
  </si>
  <si>
    <t xml:space="preserve"> &lt; 151</t>
  </si>
  <si>
    <t>PDL/stellv. PDL</t>
  </si>
  <si>
    <t>TAB Berechnung VK-Umfang PDL/stellv. PDL eingefügt = Ergebnis mit TAB Kat verknüpft</t>
  </si>
  <si>
    <t>Belegung</t>
  </si>
  <si>
    <t>PR</t>
  </si>
  <si>
    <t>VK nach PR</t>
  </si>
  <si>
    <t>% Ansatz für Verteilung Pkosten Pflege</t>
  </si>
  <si>
    <t>PK-Pflege</t>
  </si>
  <si>
    <t>Summe:</t>
  </si>
  <si>
    <t>PDL lt. TAB Personalaufw.</t>
  </si>
  <si>
    <t>Gesamt VK Pflege inkl PDL/stellv.</t>
  </si>
  <si>
    <t>Wäschekennzeichnung</t>
  </si>
  <si>
    <t>Kalkulation</t>
  </si>
  <si>
    <t>Relationen  angebundene KZP</t>
  </si>
  <si>
    <t>vollstationäre Pflegeeinrichtung</t>
  </si>
  <si>
    <t>angebundene Kurzzeitpflege</t>
  </si>
  <si>
    <t>Probe</t>
  </si>
  <si>
    <t>Relation ohne PDL/stellv. PDL</t>
  </si>
  <si>
    <t>Personalumfang</t>
  </si>
  <si>
    <t>proz. Verteilung Personalumfang nach Relation</t>
  </si>
  <si>
    <t>Relation inklusive PDL/stellv. PDL</t>
  </si>
  <si>
    <t xml:space="preserve">  PDL/stellv. PDL:</t>
  </si>
  <si>
    <t>Gesamt:</t>
  </si>
  <si>
    <t>Umrechnung der Personalrelation Pflege vst. exkl. PDL/stellv. PDL für die angebundene KZP Relation Pflege inklusive PDL/stellv. PDL</t>
  </si>
  <si>
    <t>Antrag vom:</t>
  </si>
  <si>
    <t>.</t>
  </si>
  <si>
    <t>Funktionsbereich</t>
  </si>
  <si>
    <t>regional übliches Entgeltniveau</t>
  </si>
  <si>
    <t>gesteigert bis max. 10%</t>
  </si>
  <si>
    <t>inkl. variable pflegetypische Zuschläge</t>
  </si>
  <si>
    <t>zusätzliche Betreuung</t>
  </si>
  <si>
    <t>Einrichtung:</t>
  </si>
  <si>
    <t>PLZ Ort:</t>
  </si>
  <si>
    <t>TP</t>
  </si>
  <si>
    <t>Fachkraftquote Pflege</t>
  </si>
  <si>
    <t>Gesamt Pflege</t>
  </si>
  <si>
    <r>
      <t>Pflege-/Betreuungs</t>
    </r>
    <r>
      <rPr>
        <sz val="11"/>
        <color theme="1"/>
        <rFont val="Arial"/>
        <family val="2"/>
      </rPr>
      <t xml:space="preserve">fachkraft, </t>
    </r>
    <r>
      <rPr>
        <sz val="9"/>
        <color theme="1"/>
        <rFont val="Arial"/>
        <family val="2"/>
      </rPr>
      <t>mind.3 Jahre Berufsausbildung</t>
    </r>
  </si>
  <si>
    <r>
      <t>Pflege-/Betreuungs</t>
    </r>
    <r>
      <rPr>
        <sz val="11"/>
        <color theme="1"/>
        <rFont val="Arial"/>
        <family val="2"/>
      </rPr>
      <t xml:space="preserve">hilfskraft, </t>
    </r>
    <r>
      <rPr>
        <sz val="9"/>
        <color theme="1"/>
        <rFont val="Arial"/>
        <family val="2"/>
      </rPr>
      <t>mind. 1 Jahr Berufsausbildung</t>
    </r>
  </si>
  <si>
    <r>
      <t>Pflege-/Betreuungs</t>
    </r>
    <r>
      <rPr>
        <sz val="11"/>
        <color theme="1"/>
        <rFont val="Arial"/>
        <family val="2"/>
      </rPr>
      <t xml:space="preserve">hilfskraft, </t>
    </r>
    <r>
      <rPr>
        <sz val="9"/>
        <color theme="1"/>
        <rFont val="Arial"/>
        <family val="2"/>
      </rPr>
      <t>ohne mind. 1 Jahr Berufsausbildung</t>
    </r>
  </si>
  <si>
    <t>Trägerdaten</t>
  </si>
  <si>
    <t>Telefon:</t>
  </si>
  <si>
    <t>Fax:</t>
  </si>
  <si>
    <t>E-Mail:</t>
  </si>
  <si>
    <t>Einr.-Art:</t>
  </si>
  <si>
    <t xml:space="preserve">bis: </t>
  </si>
  <si>
    <t>Pflegegrad</t>
  </si>
  <si>
    <t>I</t>
  </si>
  <si>
    <t>II</t>
  </si>
  <si>
    <t>III</t>
  </si>
  <si>
    <t>IV</t>
  </si>
  <si>
    <t>V</t>
  </si>
  <si>
    <t>Personalrelationen außerhalb Pflege</t>
  </si>
  <si>
    <t>Pflege</t>
  </si>
  <si>
    <t>zusätzliche Betreung § 43 b SGB XI</t>
  </si>
  <si>
    <t>Einrichtungsformen</t>
  </si>
  <si>
    <t>vst./KZP</t>
  </si>
  <si>
    <t xml:space="preserve"> inkl. SV-Beiträge</t>
  </si>
  <si>
    <t>inkl. PNK</t>
  </si>
  <si>
    <t>Pflegeeinrichtung</t>
  </si>
  <si>
    <t>Fachkraftquote</t>
  </si>
  <si>
    <t>Leitung/Ver-waltung</t>
  </si>
  <si>
    <t>zusätzliche Betreuung § 43b SGB XI</t>
  </si>
  <si>
    <t>Personalrelationen Pflege</t>
  </si>
  <si>
    <t>Personalaufwendungen</t>
  </si>
  <si>
    <t>FSJ/BFD Anzahl Stellen</t>
  </si>
  <si>
    <t>Die Richtigkeit der Angaben wird bestätigt:</t>
  </si>
  <si>
    <t>Träger der Einrichtung (Datum, Unterschrift)</t>
  </si>
  <si>
    <t>Pflegesätze</t>
  </si>
  <si>
    <t>Einrichtung</t>
  </si>
  <si>
    <t>Verpflegung</t>
  </si>
  <si>
    <t>Eigenanteil</t>
  </si>
  <si>
    <t>Vergütungszuschläge für</t>
  </si>
  <si>
    <t>Belegung je Pflegegrad</t>
  </si>
  <si>
    <t>angebundene Kurzzeitpflege:</t>
  </si>
  <si>
    <t>Berechnung</t>
  </si>
  <si>
    <t>aktueller Vereinbarungszeitraum:</t>
  </si>
  <si>
    <t>Anpassung:</t>
  </si>
  <si>
    <t>Anpassung der Vergütung der aktuell laufenden Preisvereinbarung</t>
  </si>
  <si>
    <t>Anpassung der Vergütung ab:</t>
  </si>
  <si>
    <t>Anpassung der Vergütung</t>
  </si>
  <si>
    <t>Anpassung der Vergütung:</t>
  </si>
  <si>
    <t>von:</t>
  </si>
  <si>
    <t xml:space="preserve">Träger der Einrichtung </t>
  </si>
  <si>
    <t>Die Richtigkeit der o.g. Angaben wird bestätigt:</t>
  </si>
  <si>
    <t>IK angebundene KZP:</t>
  </si>
  <si>
    <t>Institutionskennzeichen (IK):</t>
  </si>
  <si>
    <t>Verhandelte Kostenkalkulation der aktuellen Pflegesatzvereinbarung</t>
  </si>
  <si>
    <t>Institutionskennzeichen angebundene Kurzzeitpflege:</t>
  </si>
  <si>
    <t>gehe weiter zu C1_Kalkulation</t>
  </si>
  <si>
    <t>gehe weiter zu C1_Berechnung</t>
  </si>
  <si>
    <t xml:space="preserve"> inkl. Zuschlag nach § 32 RV</t>
  </si>
  <si>
    <t>Gesamt Betreuung:</t>
  </si>
  <si>
    <t>Gesamt § 43 b SGB XI:</t>
  </si>
  <si>
    <t>SV-Beiträge</t>
  </si>
  <si>
    <t xml:space="preserve"> (in%)</t>
  </si>
  <si>
    <t>Gesamt</t>
  </si>
  <si>
    <t>AG</t>
  </si>
  <si>
    <t>AN</t>
  </si>
  <si>
    <t>KV</t>
  </si>
  <si>
    <t>RV</t>
  </si>
  <si>
    <t>AV</t>
  </si>
  <si>
    <t>PV* mit Kd.</t>
  </si>
  <si>
    <t>Gesamt *</t>
  </si>
  <si>
    <t>U2</t>
  </si>
  <si>
    <t>100% Erstatt.</t>
  </si>
  <si>
    <t>Gesamt *+U2+Insolvenzgeld</t>
  </si>
  <si>
    <t xml:space="preserve">U1 </t>
  </si>
  <si>
    <t>50% Erstatt.</t>
  </si>
  <si>
    <t>Insolvenzgeld</t>
  </si>
  <si>
    <t>Gesamt *+U1+U2+Insolvenzgeld</t>
  </si>
  <si>
    <t>PK/BK</t>
  </si>
  <si>
    <t>PK/BK o.</t>
  </si>
  <si>
    <t>PFK/BFK</t>
  </si>
  <si>
    <t xml:space="preserve">Entlohnung der Pflege-/Betreuungsmitarbeiter entsprechend der Vorgaben </t>
  </si>
  <si>
    <t>Beschätigungsgruppe</t>
  </si>
  <si>
    <t xml:space="preserve"> mind. 3 Jahre Berufsausbildung</t>
  </si>
  <si>
    <t xml:space="preserve"> mind. 1 Jahr Berufsausbildung</t>
  </si>
  <si>
    <t xml:space="preserve"> mind. ohne 1 Jahr Berufsausbildung</t>
  </si>
  <si>
    <t>fixe, regelm. Entlohnung je VK</t>
  </si>
  <si>
    <t>mtl. Arbeitszeit (40 h/Woche)</t>
  </si>
  <si>
    <t>VK alle Beschäftigungsgruppen</t>
  </si>
  <si>
    <t xml:space="preserve">Anteil je Beschäftigungsgruppe </t>
  </si>
  <si>
    <t>einrichtungsindividuelles Entgeltniveau</t>
  </si>
  <si>
    <t>Gesamtbruttopersonalkosten je Jahr</t>
  </si>
  <si>
    <t>Hilfsspalten</t>
  </si>
  <si>
    <t>Register</t>
  </si>
  <si>
    <t>Pflege - Personalkosten gesamt</t>
  </si>
  <si>
    <t>Betreuung - Personalkosten gesamt.</t>
  </si>
  <si>
    <t>zusätzliche Betreuung - Personalkosten gesamt:</t>
  </si>
  <si>
    <t>Personalkosten gesamt:</t>
  </si>
  <si>
    <t>Personalkosten in €/VK</t>
  </si>
  <si>
    <t xml:space="preserve">arbeitszeitnormierter Std.lohn </t>
  </si>
  <si>
    <t>gehe weiter zu C1_Gesamtkalkulation</t>
  </si>
  <si>
    <t>Fahrtkosten</t>
  </si>
  <si>
    <t>Ausbildungsbetrieb und/oder Praktikumsbetrieb nach dem Pflegeberufegesetz</t>
  </si>
  <si>
    <t>SPERREN UND AUSBLENDEN</t>
  </si>
  <si>
    <t>Beförderung (Preis):</t>
  </si>
  <si>
    <t>Datum der 
Änderung</t>
  </si>
  <si>
    <t>Tabellenblatt</t>
  </si>
  <si>
    <t>Zeile/Spalte</t>
  </si>
  <si>
    <t>Erläuterung der Änderung</t>
  </si>
  <si>
    <t>Hinweise für die Anwender</t>
  </si>
  <si>
    <t xml:space="preserve">Erläuterung der Änderungen gegenüber der Vorversion (Änderungshistorie ab 19.5.22) </t>
  </si>
  <si>
    <t>C1_Berechnung</t>
  </si>
  <si>
    <t>F20</t>
  </si>
  <si>
    <t>Verbindung zur Zelle F16 (Steigerungsrate) gelöst</t>
  </si>
  <si>
    <t>F23, F24, F25</t>
  </si>
  <si>
    <t>F26</t>
  </si>
  <si>
    <t>Verbindung zur Zelle F22 (Steigerungsrate) gelöst</t>
  </si>
  <si>
    <t xml:space="preserve">Verbindung zur Zelle F16 (Steigerungsrate) hergestellt
($F$16 statt $F$7)
</t>
  </si>
  <si>
    <t>Verbindung zur Zelle F22 (Steigerungsrate) hergestellt
$F$22 statt $F$7</t>
  </si>
  <si>
    <t>F17, F18, F19</t>
  </si>
  <si>
    <t>Die Anpassungen haben keine Auswirkungen auf die Höhe der berechneten Pflegesätze. Jedoch wird mit der Anpassung die Darstellung der zu steigernden Stundenlöhne je Beschäftigungsgruppe in den beiden Segmenten "Betreuung" und "zusätzliche Betreuung" transparent und die statistischen Kennzahlen zur Entlohnung der Beschäftigtengruppen (Zellbereich C34 : E44) korrigiert.</t>
  </si>
  <si>
    <t>handelnd für alle Kostenträger (Datum, Unterschrift)</t>
  </si>
  <si>
    <t>€/Tag</t>
  </si>
  <si>
    <t>D10;D11;D12; D17;D18, D19; D23;D24;D25</t>
  </si>
  <si>
    <t>C1_Ergebnis</t>
  </si>
  <si>
    <t>Zeile 45</t>
  </si>
  <si>
    <t>alt: Unterschrift für alle Leistungsträger (Datum, Unterschrift)                                                     neu: Unterschrift für alle Kostenräger (Datum, Unterschrift)</t>
  </si>
  <si>
    <t>Erfahrung KSV - Leistungserbringer haben oftmals auf Unterschriftenzeile der Leistungsträger unterzeichnet - mit Austausch des Wortes Leistungsträger in Kostenträger soll dies verhindert werden</t>
  </si>
  <si>
    <t>C1_Kalkulation</t>
  </si>
  <si>
    <t>P4</t>
  </si>
  <si>
    <t>Formatanpassung als Datumswert, damit korrekte Übernahme des Antragsdatums</t>
  </si>
  <si>
    <t>Zelle H15;J15;L15;N15;P15;R15;T15;V15</t>
  </si>
  <si>
    <t>bisher Tag/€ - korrigiert in €/Tag</t>
  </si>
  <si>
    <t>Korrktur der Überschrift</t>
  </si>
  <si>
    <t>C1_Gesamtkalkulation</t>
  </si>
  <si>
    <t>reg. En.</t>
  </si>
  <si>
    <t>PK/PK o.</t>
  </si>
  <si>
    <t>C1_Archiv</t>
  </si>
  <si>
    <t>TAB neu eingefügt</t>
  </si>
  <si>
    <t>Werte des reg. En. von 2022 hinterlegt</t>
  </si>
  <si>
    <t>TAB soll Historie des Antrages nachvollziehbar darstellen</t>
  </si>
  <si>
    <t>C1_Allgemeine Angaben</t>
  </si>
  <si>
    <t>H49</t>
  </si>
  <si>
    <r>
      <rPr>
        <u/>
        <sz val="10"/>
        <color theme="1"/>
        <rFont val="Arial"/>
        <family val="2"/>
      </rPr>
      <t>bisher in H49:</t>
    </r>
    <r>
      <rPr>
        <sz val="10"/>
        <color theme="1"/>
        <rFont val="Arial"/>
        <family val="2"/>
      </rPr>
      <t xml:space="preserve"> Datum 01.09.2022 hinterlegt, keine Erfassungsmöglichkeit für Leistungserbringer                                             </t>
    </r>
    <r>
      <rPr>
        <u/>
        <sz val="10"/>
        <color theme="1"/>
        <rFont val="Arial"/>
        <family val="2"/>
      </rPr>
      <t>neu in H49</t>
    </r>
    <r>
      <rPr>
        <sz val="10"/>
        <color theme="1"/>
        <rFont val="Arial"/>
        <family val="2"/>
      </rPr>
      <t>: ist Erfassungsfeld, Datenüberprüfung eingefügt =&gt; H49 darf nur größer als 31.01.2023 sein plus Hinweistext: Laufzeitbeginn ab 01.02.2023 möglich, kein Zellschutz</t>
    </r>
  </si>
  <si>
    <t>C1_Hinweise</t>
  </si>
  <si>
    <t>neues reg. En.: PFK/BFK = 21,87 €(D10;D17;D23), PK/BK = 17,41€ (D11;D18;D24), PK/BK o. = 16,48 € (D12;D19;D25)</t>
  </si>
  <si>
    <t>A1</t>
  </si>
  <si>
    <t>C1_Allgemeine Angaben und C1_Hinweise</t>
  </si>
  <si>
    <t>Überschrift neu: Vereinfachtes Antragsverfahren für tarifungebundene Einrichtungen mit laufender Vereinbarung über den 31. Januar 2023 im Rahmen § 72 Abs. 3b Satz 7 in Verbindung mit der Veröffentlichung nach § 82c Abs. 5 SGB XI (Stand 30.11.2022)</t>
  </si>
  <si>
    <t>Datenüberprüfung: Satt "Warnung" jetzt "Stopp" bei Antrag vor 1.2.2023</t>
  </si>
  <si>
    <t>neue Hinweise Stand 8.12.22 und Anpassung Fußzeilen</t>
  </si>
  <si>
    <t>Bereich B34:E44</t>
  </si>
  <si>
    <t>Zellen gesperrt aber nicht mehr ausgeblendet</t>
  </si>
  <si>
    <t>C10; C11; C12; C14</t>
  </si>
  <si>
    <t>Zellen als Zahl mit drei Nachkommastellen formatiert</t>
  </si>
  <si>
    <t>H36</t>
  </si>
  <si>
    <t>Formel fehlte, Formel wurde wie folgt eingefügt:=G36/$H$11</t>
  </si>
  <si>
    <t>C36</t>
  </si>
  <si>
    <t>Rechtschreibfehler korrigiert</t>
  </si>
  <si>
    <t>Zellbereich ab Spalte O</t>
  </si>
  <si>
    <t>ausgeblendet in geschützer Version</t>
  </si>
  <si>
    <t>Form der Kurzzeitpflege:</t>
  </si>
  <si>
    <t>Angebot gesundheitliche Versorgungsplanung in der letzten Lebensphase (§132g SGB V)</t>
  </si>
  <si>
    <t>Berufsgruppen</t>
  </si>
  <si>
    <t>Anpassung Höhe der sv-freien Zuschläge bei vst. wg. Anpassung im reg. EN. / 06.11.2023</t>
  </si>
  <si>
    <r>
      <t xml:space="preserve">Pflege-/Betreuungsfachkraft, </t>
    </r>
    <r>
      <rPr>
        <sz val="9"/>
        <color theme="1"/>
        <rFont val="Arial"/>
        <family val="2"/>
      </rPr>
      <t>mind.3 Jahre Berufsausbildung</t>
    </r>
  </si>
  <si>
    <t>einrichtungsindividuelles Entgeltniveau inkl. IAP</t>
  </si>
  <si>
    <t xml:space="preserve">inkl. Inflationsausgleichs-prämie (IAP) für den aktuellen Vereinbarungszeitraum (gesamt je VK) </t>
  </si>
  <si>
    <t>Plausifeld für Text im TAB C1_Ergebnis</t>
  </si>
  <si>
    <t>Platz für neue Erfassungsfelder</t>
  </si>
  <si>
    <t>nach Zeile 7 2 Zeilen eingefügt</t>
  </si>
  <si>
    <t>D8</t>
  </si>
  <si>
    <t>Form der Kurzzeitpflege</t>
  </si>
  <si>
    <t>H8:K8</t>
  </si>
  <si>
    <t>verbunden, Dropdown-Feld solitär; angebunden</t>
  </si>
  <si>
    <t xml:space="preserve">Plausifeld: </t>
  </si>
  <si>
    <t>J9  =WENN(UND(D7="kzp";H8="");"Bitte Form der Kurzzeitpflege angeben.";"")</t>
  </si>
  <si>
    <t>D8:K8</t>
  </si>
  <si>
    <t>bedingt formatiert, Anzeige nur bei KZP</t>
  </si>
  <si>
    <t>B 73 zu B71 verschoben</t>
  </si>
  <si>
    <t>Angaben nach § 8 Abs. 6 SGB XI mit § 113c SGB XI hinfällig</t>
  </si>
  <si>
    <t>L73</t>
  </si>
  <si>
    <t>Dropdown gelöscht</t>
  </si>
  <si>
    <t>D6</t>
  </si>
  <si>
    <t>Datenüberprüfung: Erfassung neu 70% - 100%, Textfeld analog § 88a SGB XI für die KZP angepasst</t>
  </si>
  <si>
    <t>Plausi-Prüfungen wie bei B2/B1 + Vollantrag nicht notw. für Auslastung</t>
  </si>
  <si>
    <t>nach Zeile 5 4 Zeilen eingefügt</t>
  </si>
  <si>
    <t>Tabelle für die Abbildung der VK Werte nach § 113c - geforderten VK im TAB + im Ergebnisprotokoll abgebildeten VK// bedingt formatiert - sichtbar nur bei vst. PE</t>
  </si>
  <si>
    <t>Inhalte Spalte E - Angabe der % tualen Verteilung der Berufsgruppen je Bereich entfällt</t>
  </si>
  <si>
    <t>C16; C22;C23, C28 + C29 VK-Erfassung</t>
  </si>
  <si>
    <t>C24 - Differenz zw. Betreuung VK gesamt aus TAB C1_Kalkulation abzügl. PFK/BFK + PK/BK</t>
  </si>
  <si>
    <t>C17 - Differenzbildung zw. Pflege VK gesamt aus TAB C1_Kalkulation  abzügl. PFK/BFK u. PK/BK</t>
  </si>
  <si>
    <t>C30 - Differenz zw. 43b VK gesamt aus TAB C1_Kalkulation abzügl. PFK/BFK + PK/BK</t>
  </si>
  <si>
    <t>Spalte G Abbildung der IAP je Mitarbeiter und Bereich</t>
  </si>
  <si>
    <t>I12 Anpassung Dropdown - Werte SV 2023</t>
  </si>
  <si>
    <t>Entgeltniveau inkl. variabler pflegetypischer  Zuschläge + IAP pro Jahr/VK</t>
  </si>
  <si>
    <t>H11:H12 - Text neu in rot</t>
  </si>
  <si>
    <t xml:space="preserve">G19, G25, G31 - Berechnungen PKosten inkl. IAP </t>
  </si>
  <si>
    <t>B48:E48</t>
  </si>
  <si>
    <t>Abbildung einrichtungs. ind. En. inkl. IAP</t>
  </si>
  <si>
    <t>F48</t>
  </si>
  <si>
    <t>Plausifeld - Vergleich mit 10% + reg. En.</t>
  </si>
  <si>
    <t>C43 - Berechnnung GVWG ohne PDL</t>
  </si>
  <si>
    <t>B39:K40 - Text</t>
  </si>
  <si>
    <t>bei IAP in Folgeverhandlung kein Pauschalverfahren - bedingt formatiert</t>
  </si>
  <si>
    <r>
      <t xml:space="preserve">Entgeltniveau inkl. variabler pflegetypischer  Zuschläge </t>
    </r>
    <r>
      <rPr>
        <sz val="10"/>
        <color rgb="FFFF0000"/>
        <rFont val="Arial"/>
        <family val="2"/>
      </rPr>
      <t>+ IAP</t>
    </r>
    <r>
      <rPr>
        <sz val="10"/>
        <color theme="1"/>
        <rFont val="Arial"/>
        <family val="2"/>
      </rPr>
      <t xml:space="preserve"> pro Jahr/VK</t>
    </r>
  </si>
  <si>
    <t>07.11.2023/ 08.11.2023</t>
  </si>
  <si>
    <t>KAT</t>
  </si>
  <si>
    <t>A91:B96</t>
  </si>
  <si>
    <t>A98:D109</t>
  </si>
  <si>
    <t>Anpassung der SV-Beiträge Stand 7/2023 - lt. PSK 02.11.2023</t>
  </si>
  <si>
    <t>Erhöhung der % Sätze für vst./KZP wg. neuen Werten des reg. En.- lt. Abstimmung UAG</t>
  </si>
  <si>
    <t xml:space="preserve">A1:N1 </t>
  </si>
  <si>
    <t>Überschrift neu: Vereinfachtes Antragsverfahren für tarifungebundene Einrichtungen mit laufender Vereinbarung über den 31. Dezember 2023 im Rahmen § 72 Abs. 3b Satz 7 in Verbindung mit der Veröffentlichung nach § 82c Abs. 5 SGB XI (Stand 31.10.2023)</t>
  </si>
  <si>
    <t>1. Bedingung</t>
  </si>
  <si>
    <t>2. Bedingung</t>
  </si>
  <si>
    <t>2 = wenn vst</t>
  </si>
  <si>
    <t>Ergebnis</t>
  </si>
  <si>
    <t>Plausi für TAB 113c in TAB C1_Berechnung- Anzeige nur wenn vst + LZ ab 01.07.2023</t>
  </si>
  <si>
    <t>2 = wenn LZ aktuell ab 01.07.2023</t>
  </si>
  <si>
    <t>Plausi Tabelle I5:N5</t>
  </si>
  <si>
    <t>Plausi-Felder für bedingte Formatierung in TAB C1_Berechnung in TAB B6:F7</t>
  </si>
  <si>
    <t>C7:E7</t>
  </si>
  <si>
    <t xml:space="preserve">ohne Schreibschutz </t>
  </si>
  <si>
    <t>B6:F7</t>
  </si>
  <si>
    <t>bedingte Formatierung in Bezug zu TAB KAT Zelle K5</t>
  </si>
  <si>
    <t xml:space="preserve"> G19 =WENNFEHLER(WENN(UND(E19="fehler";'C1_Allgemeine Angaben'!M52="");0;RUNDEN($G$12/'C1_Allgemeine Angaben'!$M$52*3/13/40;2)+F19);0)</t>
  </si>
  <si>
    <t xml:space="preserve"> G31=WENNFEHLER(WENN(E31="fehler";0;RUNDEN($G$12/'C1_Allgemeine Angaben'!$M$52*3/13/40;2)+F31);0)</t>
  </si>
  <si>
    <t>modifiziert DIVO weg</t>
  </si>
  <si>
    <t>modifiziert - aktuelle LZ weitere Bedingung für Formel + Wennfehler eingefügt</t>
  </si>
  <si>
    <t>Text Datenüberprüfung angepasst. bei KZP nur noch 70% - 100%</t>
  </si>
  <si>
    <t>Mit Berücksichtigung der Inflationsausgleichsprämie ist für die nächste Vergütungsverhandlung die Nutzung eines pauschal, vereinfachten Verhandlungsverfahrens grundsätzlich nicht möglich.</t>
  </si>
  <si>
    <t>Personalmengen nach § 113 c SGB XI lt. der aktuellen Ergebniskalkulation</t>
  </si>
  <si>
    <t>H50</t>
  </si>
  <si>
    <t>Datenüberprüfung (LZ ab 01.01.2024) + Fehlermeldung abgepasst</t>
  </si>
  <si>
    <t>ohne Freizeichen und mit Textumbruch</t>
  </si>
  <si>
    <t>Zeile 25</t>
  </si>
  <si>
    <t>Zeilenhöhe angepasst</t>
  </si>
  <si>
    <t>Überschrift von Tbl. 113c angepasst</t>
  </si>
  <si>
    <t>B6:F6</t>
  </si>
  <si>
    <t>G12</t>
  </si>
  <si>
    <t>H53, J53, L53, N53, P53, R53, T53</t>
  </si>
  <si>
    <t>Formelangepasst - Auslastung angebundene KZP = 80%</t>
  </si>
  <si>
    <t>Überschrift</t>
  </si>
  <si>
    <t>Datenüberprüfung - Text neu - IAP nur angeben, wenn in akt. VH bereits mit dabei + ohne Schreibschutz</t>
  </si>
  <si>
    <t>Platzzahl der angebundenen / integrierten Kurzzeitpflege lt. Versorgungsvertrag:</t>
  </si>
  <si>
    <t>L46</t>
  </si>
  <si>
    <t>Datenüberprüfung  - Text</t>
  </si>
  <si>
    <t>keine Abbildung der VK-Umfänge nach § 113c SGB XI - bisher in PSV nicht enthalten, C1 erfolgt nur Anpassung der neuen Mindestvergütungen!</t>
  </si>
  <si>
    <t>C60:F60; H60:I60 - in Formel Wennfehler eingefügt</t>
  </si>
  <si>
    <t>H25</t>
  </si>
  <si>
    <t>Formel fehlte, Formel wurde wie folgt eingefügt =RUNDEN(WENNFEHLER(G25*40*13/3*12;0);2)</t>
  </si>
  <si>
    <t>Datum im Text überschrieben - Datum neu 31.10.2024</t>
  </si>
  <si>
    <t>A5:B5</t>
  </si>
  <si>
    <t>Datenüberprüfung, LZ-Beginn ab 01.01.2025 möglich</t>
  </si>
  <si>
    <t>Fußzeile</t>
  </si>
  <si>
    <t>Versionsinfo: 11.11.2024, PSK-Beschluss vom 07.11.2024</t>
  </si>
  <si>
    <t>gehe weiter zu C1_Berechnung 2</t>
  </si>
  <si>
    <t>Plausi f. bedingte Formatierung FKQ-Anzeige TAB Kalk.</t>
  </si>
  <si>
    <t>a.) KZP + TP = 1</t>
  </si>
  <si>
    <t>b.) vst. mit angebundener KZP = 2</t>
  </si>
  <si>
    <t>c.) sofern weder a noch b gilt dann = 0</t>
  </si>
  <si>
    <t>B26; H26</t>
  </si>
  <si>
    <t>B26:C26; H26:I26</t>
  </si>
  <si>
    <t>bedingt formatiert, Anzeige nur bei KZP, TP, vst. PE mit integrierter / angebundener KZP</t>
  </si>
  <si>
    <t>Formel:  =WENN(KAT!A18=2;"FKQ Pflege - integr. / angebundene KZP:";WENN(KAT!A18=1;"FKQ Pflege:";""))</t>
  </si>
  <si>
    <t>Anteil der PFK/BFK in Höhe von:</t>
  </si>
  <si>
    <t>FKQ Pflege - vst. PE:</t>
  </si>
  <si>
    <t>B28</t>
  </si>
  <si>
    <t>H28</t>
  </si>
  <si>
    <t>J28:L28</t>
  </si>
  <si>
    <t>verbunden, Formel = D28</t>
  </si>
  <si>
    <t>D28:F28</t>
  </si>
  <si>
    <t>I28</t>
  </si>
  <si>
    <t>Prozent, 2 Dezimalstellen, Formel: =C28</t>
  </si>
  <si>
    <t>C28</t>
  </si>
  <si>
    <t>Prozent, 2 Dezimalstellen, gelb</t>
  </si>
  <si>
    <t>Dropdown für TAB C1_Kalkulation, B28</t>
  </si>
  <si>
    <t>Formel: =wenn(B28="";"";B28)</t>
  </si>
  <si>
    <t>verbunden, Formel:  =WENN(B28="Anteil der PFK/BFK in Höhe von:";"von der max. möglichen Personalausstattung nach § 113 c Abs. 1 Nr. 3 SGB XI:";"")</t>
  </si>
  <si>
    <t>B28;D28:F28;H28;J28:L28</t>
  </si>
  <si>
    <t>bedingt formatiert, Formel: wenn=KAT!A18=1;weiße Schrift + weiße Ausfüllfarbe, ansonsten schwarze Schrift,</t>
  </si>
  <si>
    <t>bedingt formatiert, Formel: wenn=KAT!A18=hellgraue Schrift + hellgraue Ausfüllfarbe, ansonsten schwarze Schrift,</t>
  </si>
  <si>
    <t>ansonsten 0</t>
  </si>
  <si>
    <t>B28 TAB_C1_Kalk =Anteil der PFK/BFK in Höhe von: =1,</t>
  </si>
  <si>
    <t>H73:N73</t>
  </si>
  <si>
    <t>H72:N72</t>
  </si>
  <si>
    <t>Dropdown, Anteil der PFK/BFK in Höhe von:; FKQ Pflege - vst. PE:, leer (Liste in TAB: KAT); Notiz: Bitte nur für vst. PE auswählen.</t>
  </si>
  <si>
    <t>Formel: =WENN(UND('C1_Allgemeine Angaben'!D7="vst";'C1_Kalkulation'!H28="FKQ Pflege - Vst. PE:");'C1_Kalkulation'!I28;'C1_Kalkulation'!I26)</t>
  </si>
  <si>
    <t>C18</t>
  </si>
  <si>
    <t xml:space="preserve"> Formel:=WENN(C48&gt;21,55*110%;"Forderung liegt über 10% des regional üblichen Entgeltes.";"")</t>
  </si>
  <si>
    <t>ohne mind. 1 Jahr Berufsausbildung</t>
  </si>
  <si>
    <t>E37</t>
  </si>
  <si>
    <t>Text analog B2 + B4: ohne mind. 1 Jahr Berufsausbildung</t>
  </si>
  <si>
    <t>N10</t>
  </si>
  <si>
    <t>Formel:  =WENN(Q12&gt;'C1_Allgemeine Angaben'!H50;"Stichtag bitte prüfen";"")</t>
  </si>
  <si>
    <t>N11</t>
  </si>
  <si>
    <t>Formel:  =WENNFEHLER(WENN(Q12&lt;DATUM(JAHR('C1_Allgemeine Angaben'!H50);MONAT('C1_Allgemeine Angaben'!H50)-3;TAG('C1_Allgemeine Angaben'!H50));"Stichtag, max. 3 Kalendermonate vor Laufzeitbeginn wählen.";"");"")</t>
  </si>
  <si>
    <t>N12:R14</t>
  </si>
  <si>
    <t>Erfassung Belegung zum Stichtag, bedingt formatiert, Formel: wenn=´C1_Allgemeine Angaben´!D7&lt;&gt;"vst", graue Schrift und Ausfüllfarbe, ohne Rahmen</t>
  </si>
  <si>
    <t>Personalbemessungswerte gemäß § 113 c Abs. 1 SGB XI - MAX</t>
  </si>
  <si>
    <t>OHNE § 43 b Mitarbeiter und ohne zusätzliche PFK (§ 8 Abs. 6 SGB XI) und ohne zusätzliche PHK (§ 84 Abs. 9 SGB XI)</t>
  </si>
  <si>
    <t>Richtwerte</t>
  </si>
  <si>
    <t>G34:K43</t>
  </si>
  <si>
    <t>H39</t>
  </si>
  <si>
    <t xml:space="preserve"> =Stichtag aus C1_Kalkulation Q12</t>
  </si>
  <si>
    <t>I41:J41</t>
  </si>
  <si>
    <t>Summen VK je Berufsgruppen PFK/BFK;PK/BK;PK/BK o. von Funktionsbereich Pflege und Betreuung, bei PFK/BFK abzüglich Umfang PDL/stv. PDL lt. Rahmenvertrag</t>
  </si>
  <si>
    <t>Tabelle für Personalmengen nach § 113 c SGB XI eingefüg, bedingt formatiert, Formel: C1_Allgemeine Angaben´!D7&lt;&gt;"vst";graue Füllfarbe, graue Schrift, ohne Rahmen</t>
  </si>
  <si>
    <t>C1_Berechnung 2</t>
  </si>
  <si>
    <t>Anteil der PFK/BFK von der maximal möglichen Personalausstattung nach   § 113 c Abs. 1 SGB XI</t>
  </si>
  <si>
    <t>Personalausstattung</t>
  </si>
  <si>
    <t>Hinweisfelder hervorheben</t>
  </si>
  <si>
    <t>(Felder mit Hinweisen und Fehlermeldungen werden blau (="ja") bzw. weiß (="nein") hinterlegt</t>
  </si>
  <si>
    <t>2024 - PSK 02.11.2024</t>
  </si>
  <si>
    <t>B100;C105</t>
  </si>
  <si>
    <t>B100 = KV 16,4% gesamt; C105=0,79% U1 Beitrag</t>
  </si>
  <si>
    <t>I12</t>
  </si>
  <si>
    <t>Text Dropdown angepasst; SV = 20,850%, inkl. U1 =23,000 %</t>
  </si>
  <si>
    <t>Kopie von C1_Berechnung</t>
  </si>
  <si>
    <t>G7:G9</t>
  </si>
  <si>
    <t>Abbildung des Anteils der PFK/BFK zu § 113c Abs. 1 SGB XI, inkl. Plausifeld in G9 (Abbildung des Anteils zu § 113c Abs. 1 SGB XI rechn zu den Angaben des LE in diesem TAB)</t>
  </si>
  <si>
    <t>B18:C18</t>
  </si>
  <si>
    <t>Angabe zur Fachkraftquote Pflege entfernt</t>
  </si>
  <si>
    <t>C15</t>
  </si>
  <si>
    <t>Formel gelöscht, reines Erfassungsfeld</t>
  </si>
  <si>
    <t>D51:K51</t>
  </si>
  <si>
    <t>D20</t>
  </si>
  <si>
    <t xml:space="preserve"> Plausiformel angepasst wg. Wegfall Formel in C15=WENN(C17&lt;0;"Bitte korrigieren Sie Ihre Angaben in Zelle C16 u. o. C15";"")</t>
  </si>
  <si>
    <t>neues Plausifeld: =WENN(ODER(G4&lt;'C1_Kalkulation'!C23*100,01%;G4&gt;'C1_Kalkulation'!C23*100,01%);"Bitte im TAB erfasste VK-Werte für die PFK/BFK prüfen";"")</t>
  </si>
  <si>
    <t>H9</t>
  </si>
  <si>
    <t>Hyperlink angepasst =&gt; gehe weiter zu C1_Gesamtkalkulation 2</t>
  </si>
  <si>
    <t>gehe weiter zu C1_Bewohnervertretung</t>
  </si>
  <si>
    <t>H23</t>
  </si>
  <si>
    <t>I22</t>
  </si>
  <si>
    <t>I23</t>
  </si>
  <si>
    <t>J12;N12;P12;L12</t>
  </si>
  <si>
    <t>neue Leistungsbeträge ab 2025</t>
  </si>
  <si>
    <t>Anteil der PFK/BFK von der maximal möglichen Personalausstattung nach § 113 c Abs. 1 SGB XI</t>
  </si>
  <si>
    <t>neues Feld: Anteil der PFK/BFK von der maximal möglichen Personalausstattung nach   § 113 c Abs. 1 SGB XI, bedingt formatiert - Formel: Kat!B10=0; dann weiße Farbe + Schrift, Rahmenangepasst (Kat!B10 = 0 = vst. PE mit FKQ, dann keine Abb. Anteil zu § 113c SGB XI</t>
  </si>
  <si>
    <t xml:space="preserve"> neues Feld, Formel:=WENN(KAT!B10=1;'C1_Kalkulation'!I28;""), bedingt formatiert: =wenn KAT!B10=1;dann schwarze Schrift+Rahmen, ansonsten weiße Schrift, Rahmenangepasst</t>
  </si>
  <si>
    <t>% Satz wird nur angezeigt, wenn bisher auch eine FKQ vereinbart war, Formel angepasst =WENN(KAT!A18=1;'C1_Kalkulation'!I26;'C1_Kalkulation'!I28); bedingt formatiert: weiße Schrift, graue Füllefarbe wenn TAB KAT!B10=1, ansonsten schwarze Schrift und weiße Füllfarbe</t>
  </si>
  <si>
    <t>G8</t>
  </si>
  <si>
    <t>zieht Anteil PFK/BFK aus TAB C1_Kalkulation I28</t>
  </si>
  <si>
    <t>Hyperlink, Text: gehe weiter zu C1_Berechnung, bedingt formatiert - Formel: wenn=KAT!B10=0,weiße Ausfüllfarbe und weiße Schrift</t>
  </si>
  <si>
    <t>Hyperlink, Text: gehe weiter zu C1_Berechnung 2, bedingt formatiert - Formel: wenn=KAT!B10=1,weiße Ausfüllfarbe und weiße Schrift</t>
  </si>
  <si>
    <t>A1:N52</t>
  </si>
  <si>
    <t>bedingt formatiert: Formel = KAT!B10=1, dann weiße Schrift + Farbe ohne Rahmen</t>
  </si>
  <si>
    <t>bedingt formatiert: Formel = KAT!B10=0, dann weiße Schrift + Farbe ohne Rahmen</t>
  </si>
  <si>
    <t>ACHTUNG! im TAB C1_Kalkulation ist der Filter in Zelle B28 nur bei vst. PE zu füllen bzw. auszuwählen, ansonsten muss das Feld LEER sein (GrundAbsprünge für Berechnung und korr. Abb. der FKQ bzw. Anteil 113 c im Ergebnis</t>
  </si>
  <si>
    <t>A9:A12</t>
  </si>
  <si>
    <t>B9:D12</t>
  </si>
  <si>
    <t>Liste für DropDown in TAB C1_Kalkulation! B28</t>
  </si>
  <si>
    <t>Plausi für Hyperlink TAB C1_Kalkulation in H73:N73 und H72:N72 + bedingte Formatierung Berechn.TAB + Ergebnis</t>
  </si>
  <si>
    <t>Plausi für Hyperlinkabsprünge, bedingte Formatierung für TAB C1_Berechnung und TAB C1_Berechnung 2 plus Anzeige der FKQ bzw. Anteil 113c im TAB Ergebnis</t>
  </si>
  <si>
    <t xml:space="preserve">PFK/BFK </t>
  </si>
  <si>
    <t>G9</t>
  </si>
  <si>
    <t>Formel korrigiert: =(C15+C22-'C1_Kalkulation'!D25)/KAT!N14</t>
  </si>
  <si>
    <t>Formel korrigiert: =WENN(ODER(G9&lt;'C1_Kalkulation'!C28*99,95%;G9&gt;'C1_Kalkulation'!C28*100,05%);"Bitte im TAB erfasste VK-Werte für die PFK/BFK prüfen";"")</t>
  </si>
  <si>
    <t xml:space="preserve"> =WENN(KAT!B10=1;'C1_Berechnung 2'!K19;'C1_Berechnung'!K19)</t>
  </si>
  <si>
    <t>L26</t>
  </si>
  <si>
    <t>L27</t>
  </si>
  <si>
    <t xml:space="preserve">  =WENN(I27&gt;0;WENN(KAT!B10=1;'C1_Berechnung 2'!K25;'C1_Berechnung'!K25);0)</t>
  </si>
  <si>
    <t xml:space="preserve"> =WENN(KAT!B10=1;'C1_Berechnung 2'!K31;'C1_Berechnung'!K31)</t>
  </si>
  <si>
    <t>L34</t>
  </si>
  <si>
    <t>Bitte auswählen.</t>
  </si>
  <si>
    <t>Vereinfachtes Antragsverfahren für tarifungebundene Einrichtungen mit laufender Vereinbarung über den 31. Dezember 2024 im Rahmen § 72 Abs. 3b Satz 7 in Verbindung mit der Veröffentlichung nach § 82c Abs. 5 SGB XI (Stand 31.10.2024)</t>
  </si>
  <si>
    <t>PFK/BFK (o. PDL/stellv. PDL)</t>
  </si>
  <si>
    <t>D7:E7</t>
  </si>
  <si>
    <t>Überschrift mittig formatiert</t>
  </si>
  <si>
    <t>C7</t>
  </si>
  <si>
    <t>(o. PDL/stellv. PDL) in Überschrift ergänzt</t>
  </si>
  <si>
    <t>A1:N1</t>
  </si>
  <si>
    <t>in Überschrift Datum 31.12.2023 auf 31.12.2024 angepasst</t>
  </si>
  <si>
    <t>Texthinweis auf 01.01.2025 für Datenerfassung angepasst</t>
  </si>
  <si>
    <t>Liste für Datenübertragung erweitert auf KAT!A10:A12</t>
  </si>
  <si>
    <t>C1_KAT</t>
  </si>
  <si>
    <t>A12</t>
  </si>
  <si>
    <t>Text: Bitte auswählen.</t>
  </si>
  <si>
    <t>28:F28;H28:L28</t>
  </si>
  <si>
    <t>bedingt formatiert: sofern kein PH, dann graue Füllfarbe und hellere Schrift</t>
  </si>
  <si>
    <t>D28</t>
  </si>
  <si>
    <t>Formel nagepasst: =WENN(UND(B28="Anteil der PFK/BFK in Höhe von:";'C1_Allgemeine Angaben'!D7="vst");"von der max. möglichen Personalausstattung nach § 113 c Abs. 1 Nr. 3 SGB XI:";""), Grund: auch wenn TP + KZP versehentlich in B28 den Filter für PH (FKQ, Anteil nach § 113 c SGB XI) wählten, wird die Einrichtung per Hyperlink auf C1_Berechnung geleitet</t>
  </si>
  <si>
    <t xml:space="preserve"> alte Formel: =WENN('C1_Kalkulation'!B28&lt;&gt;"Anteil der PFK/BFK in Höhe von:";0;1)</t>
  </si>
  <si>
    <t xml:space="preserve"> neue Formel: =WENN(UND('C1_Kalkulation'!B28="Anteil der PFK/BFK in Höhe von:";'C1_Allgemeine Angaben'!D7="vst");1;0) - wg. Anpassung Formel D28 in C2_Kalkulation</t>
  </si>
  <si>
    <t>B10</t>
  </si>
  <si>
    <t>zweite Bedingte Fromatierung: wenn B28 = Bitte auswählen., dann in H28 weiße Schrift.</t>
  </si>
  <si>
    <t>Zelle ohne Schutz</t>
  </si>
  <si>
    <t>C8:F15</t>
  </si>
  <si>
    <t>einheitl. (Zentrierung und Format x,xxx VK)</t>
  </si>
  <si>
    <t>B8</t>
  </si>
  <si>
    <t>Text bisher VK neu Personalausstattung (analog Berechnung 2)</t>
  </si>
  <si>
    <t>C8:F9</t>
  </si>
  <si>
    <t>benutzer definierte Formatierung, zentriert, Zahl mit 3 Nachkommastellen "VK"</t>
  </si>
  <si>
    <t>Formel um Wennfehler ergänzt</t>
  </si>
  <si>
    <t>Version 21.11.2024 eingefügt</t>
  </si>
  <si>
    <t xml:space="preserve">alle TABS </t>
  </si>
  <si>
    <t>Anpassung der sv-freien Zuschlagshöhe für vst./KZP wg. reg. EN lt. Abstimmung UAG antragsunterlagen und Kostenträger 21.11.2024</t>
  </si>
  <si>
    <t>sv-freie Zuschläge bis 31.12.2024</t>
  </si>
  <si>
    <t>sv-freie Zuschläge ab 2025</t>
  </si>
  <si>
    <t>B94:B96</t>
  </si>
  <si>
    <t>Pflege 8,5%, Betreuung 3,65%, 43b 4,1%</t>
  </si>
  <si>
    <t>Hinweis-Fehlerfelder bedingt formatiert</t>
  </si>
  <si>
    <r>
      <t xml:space="preserve">in allen TABs </t>
    </r>
    <r>
      <rPr>
        <strike/>
        <sz val="10"/>
        <color rgb="FFFF0000"/>
        <rFont val="Arial"/>
        <family val="2"/>
      </rPr>
      <t>außer Berechnung und Berechnung 2</t>
    </r>
  </si>
  <si>
    <t>C26</t>
  </si>
  <si>
    <t>Wert 50% gelöscht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</si>
</sst>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0.00\ &quot;€&quot;"/>
    <numFmt numFmtId="165" formatCode="0.000"/>
    <numFmt numFmtId="166" formatCode="#,##0.00\ _€"/>
    <numFmt numFmtId="167" formatCode="0\ &quot;%&quot;"/>
    <numFmt numFmtId="168" formatCode="#,##0.000\ &quot;€&quot;"/>
    <numFmt numFmtId="169" formatCode="#,##0.0000"/>
    <numFmt numFmtId="170" formatCode="_-* #,##0\ [$€-407]_-;\-* #,##0\ [$€-407]_-;_-* &quot;-&quot;??\ [$€-407]_-;_-@_-"/>
    <numFmt numFmtId="171" formatCode="0.0\ %"/>
    <numFmt numFmtId="172" formatCode="#,##0.000"/>
    <numFmt numFmtId="173" formatCode="&quot;1 :&quot;\ 0.00"/>
    <numFmt numFmtId="174" formatCode="\ 0\ &quot;Stelle/n&quot;"/>
    <numFmt numFmtId="175" formatCode="#,##0.00\ &quot;€&quot;&quot;/VK&quot;"/>
    <numFmt numFmtId="176" formatCode="#,##0.00\ &quot;€&quot;&quot;/Stelle&quot;"/>
    <numFmt numFmtId="177" formatCode="#,##0.000\ &quot;VK&quot;"/>
    <numFmt numFmtId="178" formatCode="#,###"/>
    <numFmt numFmtId="179" formatCode="0.000\ &quot;VK&quot;"/>
    <numFmt numFmtId="180" formatCode="dd/mm/yy;@"/>
    <numFmt numFmtId="181" formatCode="0.000%"/>
    <numFmt numFmtId="182" formatCode="&quot;1 : &quot;0.00"/>
    <numFmt numFmtId="183" formatCode="&quot;Einrichtung:&quot;\ 0"/>
    <numFmt numFmtId="184" formatCode="_-* #,##0.00\ _€_-;\-* #,##0.00\ _€_-;_-* &quot;-&quot;??\ _€_-;_-@_-"/>
    <numFmt numFmtId="185" formatCode="_-* #,##0.000\ &quot;€&quot;_-;\-* #,##0.000\ &quot;€&quot;_-;_-* &quot;-&quot;???\ &quot;€&quot;_-;_-@_-"/>
    <numFmt numFmtId="186" formatCode="_-\ #,##0.00\ &quot;€/VK&quot;"/>
    <numFmt numFmtId="187" formatCode="0.00\ &quot;€/VK&quot;"/>
  </numFmts>
  <fonts count="137"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rgb="FFFF0000"/>
      <name val="Arial"/>
      <family val="2"/>
    </font>
    <font>
      <b/>
      <sz val="11"/>
      <color theme="1"/>
      <name val="Arial"/>
      <family val="2"/>
    </font>
    <font>
      <b/>
      <sz val="11"/>
      <name val="Arial"/>
      <family val="2"/>
    </font>
    <font>
      <sz val="11"/>
      <name val="Arial"/>
      <family val="2"/>
    </font>
    <font>
      <b/>
      <sz val="10"/>
      <color theme="1"/>
      <name val="Arial"/>
      <family val="2"/>
    </font>
    <font>
      <b/>
      <sz val="10"/>
      <name val="Arial"/>
      <family val="2"/>
    </font>
    <font>
      <sz val="8"/>
      <color rgb="FFFF0000"/>
      <name val="Arial"/>
      <family val="2"/>
    </font>
    <font>
      <sz val="8"/>
      <color theme="0"/>
      <name val="Arial"/>
      <family val="2"/>
    </font>
    <font>
      <sz val="11"/>
      <color theme="3" tint="-0.249977111117893"/>
      <name val="Arial"/>
      <family val="2"/>
    </font>
    <font>
      <sz val="10"/>
      <color rgb="FFFF0000"/>
      <name val="Arial"/>
      <family val="2"/>
    </font>
    <font>
      <sz val="10"/>
      <name val="Arial"/>
      <family val="2"/>
    </font>
    <font>
      <sz val="8"/>
      <name val="Arial"/>
      <family val="2"/>
    </font>
    <font>
      <u/>
      <sz val="10"/>
      <color indexed="12"/>
      <name val="Arial"/>
      <family val="2"/>
    </font>
    <font>
      <sz val="11"/>
      <color theme="5" tint="-0.499984740745262"/>
      <name val="Arial"/>
      <family val="2"/>
    </font>
    <font>
      <sz val="10"/>
      <color rgb="FF0070C0"/>
      <name val="Arial"/>
      <family val="2"/>
    </font>
    <font>
      <b/>
      <sz val="10"/>
      <color rgb="FFFF0000"/>
      <name val="Arial"/>
      <family val="2"/>
    </font>
    <font>
      <sz val="11"/>
      <color rgb="FF7030A0"/>
      <name val="Arial"/>
      <family val="2"/>
    </font>
    <font>
      <sz val="11"/>
      <color theme="9" tint="-0.499984740745262"/>
      <name val="Arial"/>
      <family val="2"/>
    </font>
    <font>
      <sz val="10"/>
      <color rgb="FF7030A0"/>
      <name val="Arial"/>
      <family val="2"/>
    </font>
    <font>
      <sz val="10"/>
      <color theme="3" tint="-0.249977111117893"/>
      <name val="Arial"/>
      <family val="2"/>
    </font>
    <font>
      <sz val="11"/>
      <color rgb="FF0070C0"/>
      <name val="Arial"/>
      <family val="2"/>
    </font>
    <font>
      <sz val="8"/>
      <color theme="1"/>
      <name val="Arial"/>
      <family val="2"/>
    </font>
    <font>
      <sz val="11"/>
      <color rgb="FFC00000"/>
      <name val="Arial"/>
      <family val="2"/>
    </font>
    <font>
      <b/>
      <sz val="12"/>
      <name val="Arial"/>
      <family val="2"/>
    </font>
    <font>
      <sz val="9"/>
      <name val="Arial"/>
      <family val="2"/>
    </font>
    <font>
      <b/>
      <sz val="10"/>
      <color rgb="FF0070C0"/>
      <name val="Arial"/>
      <family val="2"/>
    </font>
    <font>
      <b/>
      <sz val="10"/>
      <color theme="3" tint="-0.249977111117893"/>
      <name val="Arial"/>
      <family val="2"/>
    </font>
    <font>
      <sz val="11"/>
      <color rgb="FF92D050"/>
      <name val="Arial"/>
      <family val="2"/>
    </font>
    <font>
      <sz val="9"/>
      <color theme="1"/>
      <name val="Arial"/>
      <family val="2"/>
    </font>
    <font>
      <sz val="8"/>
      <color indexed="81"/>
      <name val="Tahoma"/>
      <family val="2"/>
    </font>
    <font>
      <b/>
      <u/>
      <sz val="12"/>
      <name val="Arial"/>
      <family val="2"/>
    </font>
    <font>
      <b/>
      <sz val="11"/>
      <color rgb="FF7030A0"/>
      <name val="Arial"/>
      <family val="2"/>
    </font>
    <font>
      <b/>
      <sz val="12"/>
      <color theme="1"/>
      <name val="Arial"/>
      <family val="2"/>
    </font>
    <font>
      <sz val="12"/>
      <color theme="1"/>
      <name val="Arial"/>
      <family val="2"/>
    </font>
    <font>
      <sz val="12"/>
      <name val="Arial"/>
      <family val="2"/>
    </font>
    <font>
      <sz val="12"/>
      <color theme="3" tint="-0.249977111117893"/>
      <name val="Arial"/>
      <family val="2"/>
    </font>
    <font>
      <sz val="14"/>
      <name val="Arial"/>
      <family val="2"/>
    </font>
    <font>
      <sz val="48"/>
      <name val="Arial"/>
      <family val="2"/>
    </font>
    <font>
      <b/>
      <i/>
      <sz val="9"/>
      <color rgb="FF0070C0"/>
      <name val="Arial"/>
      <family val="2"/>
    </font>
    <font>
      <b/>
      <i/>
      <sz val="9"/>
      <color theme="3" tint="-0.249977111117893"/>
      <name val="Arial"/>
      <family val="2"/>
    </font>
    <font>
      <b/>
      <i/>
      <sz val="9"/>
      <color theme="1"/>
      <name val="Arial"/>
      <family val="2"/>
    </font>
    <font>
      <u/>
      <sz val="11"/>
      <color theme="1"/>
      <name val="Arial"/>
      <family val="2"/>
    </font>
    <font>
      <sz val="11"/>
      <color rgb="FF00B0F0"/>
      <name val="Arial"/>
      <family val="2"/>
    </font>
    <font>
      <sz val="10"/>
      <color rgb="FF00B0F0"/>
      <name val="Arial"/>
      <family val="2"/>
    </font>
    <font>
      <sz val="10"/>
      <color theme="3"/>
      <name val="Arial"/>
      <family val="2"/>
    </font>
    <font>
      <b/>
      <sz val="10"/>
      <color theme="3"/>
      <name val="Arial"/>
      <family val="2"/>
    </font>
    <font>
      <sz val="11"/>
      <color theme="3"/>
      <name val="Arial"/>
      <family val="2"/>
    </font>
    <font>
      <sz val="9"/>
      <color theme="3"/>
      <name val="Arial"/>
      <family val="2"/>
    </font>
    <font>
      <sz val="10"/>
      <color theme="7"/>
      <name val="Arial"/>
      <family val="2"/>
    </font>
    <font>
      <b/>
      <sz val="10"/>
      <color theme="7"/>
      <name val="Arial"/>
      <family val="2"/>
    </font>
    <font>
      <u val="double"/>
      <sz val="10"/>
      <color theme="3"/>
      <name val="Arial"/>
      <family val="2"/>
    </font>
    <font>
      <u/>
      <sz val="10"/>
      <color theme="3"/>
      <name val="Arial"/>
      <family val="2"/>
    </font>
    <font>
      <b/>
      <i/>
      <sz val="10"/>
      <color theme="1"/>
      <name val="Arial"/>
      <family val="2"/>
    </font>
    <font>
      <sz val="11"/>
      <color theme="6"/>
      <name val="Arial"/>
      <family val="2"/>
    </font>
    <font>
      <sz val="10"/>
      <color theme="6"/>
      <name val="Arial"/>
      <family val="2"/>
    </font>
    <font>
      <b/>
      <sz val="10"/>
      <color theme="6"/>
      <name val="Arial"/>
      <family val="2"/>
    </font>
    <font>
      <b/>
      <sz val="10"/>
      <color theme="0"/>
      <name val="Arial"/>
      <family val="2"/>
    </font>
    <font>
      <sz val="11"/>
      <color rgb="FFFFC000"/>
      <name val="Arial"/>
      <family val="2"/>
    </font>
    <font>
      <sz val="11"/>
      <color theme="9" tint="-0.249977111117893"/>
      <name val="Arial"/>
      <family val="2"/>
    </font>
    <font>
      <sz val="10"/>
      <color theme="9" tint="-0.249977111117893"/>
      <name val="Arial"/>
      <family val="2"/>
    </font>
    <font>
      <u/>
      <sz val="10"/>
      <color rgb="FFFF0000"/>
      <name val="Arial"/>
      <family val="2"/>
    </font>
    <font>
      <b/>
      <i/>
      <sz val="11"/>
      <color theme="1"/>
      <name val="Arial"/>
      <family val="2"/>
    </font>
    <font>
      <sz val="11"/>
      <color rgb="FFFF33CC"/>
      <name val="Arial"/>
      <family val="2"/>
    </font>
    <font>
      <sz val="10"/>
      <color rgb="FFFF33CC"/>
      <name val="Arial"/>
      <family val="2"/>
    </font>
    <font>
      <sz val="9"/>
      <color rgb="FFFF33CC"/>
      <name val="Arial"/>
      <family val="2"/>
    </font>
    <font>
      <sz val="11"/>
      <color theme="7"/>
      <name val="Arial"/>
      <family val="2"/>
    </font>
    <font>
      <sz val="9"/>
      <color theme="7"/>
      <name val="Arial"/>
      <family val="2"/>
    </font>
    <font>
      <sz val="11"/>
      <color theme="0" tint="-0.249977111117893"/>
      <name val="Arial"/>
      <family val="2"/>
    </font>
    <font>
      <sz val="9"/>
      <color rgb="FF7030A0"/>
      <name val="Arial"/>
      <family val="2"/>
    </font>
    <font>
      <sz val="9"/>
      <color rgb="FFFF0000"/>
      <name val="Arial"/>
      <family val="2"/>
    </font>
    <font>
      <sz val="10"/>
      <color theme="0" tint="-0.249977111117893"/>
      <name val="Arial"/>
      <family val="2"/>
    </font>
    <font>
      <b/>
      <sz val="9"/>
      <name val="Arial"/>
      <family val="2"/>
    </font>
    <font>
      <sz val="11"/>
      <color theme="0" tint="-0.34998626667073579"/>
      <name val="Arial"/>
      <family val="2"/>
    </font>
    <font>
      <b/>
      <sz val="11"/>
      <color rgb="FF0070C0"/>
      <name val="Arial"/>
      <family val="2"/>
    </font>
    <font>
      <b/>
      <sz val="11"/>
      <color rgb="FFFF0000"/>
      <name val="Arial"/>
      <family val="2"/>
    </font>
    <font>
      <sz val="10"/>
      <color theme="0" tint="-0.34998626667073579"/>
      <name val="Arial"/>
      <family val="2"/>
    </font>
    <font>
      <b/>
      <sz val="10"/>
      <color theme="0" tint="-4.9989318521683403E-2"/>
      <name val="Arial"/>
      <family val="2"/>
    </font>
    <font>
      <b/>
      <sz val="9"/>
      <color rgb="FFFF0000"/>
      <name val="Arial"/>
      <family val="2"/>
    </font>
    <font>
      <b/>
      <sz val="9"/>
      <color rgb="FF0070C0"/>
      <name val="Arial"/>
      <family val="2"/>
    </font>
    <font>
      <b/>
      <sz val="9"/>
      <color theme="3"/>
      <name val="Arial"/>
      <family val="2"/>
    </font>
    <font>
      <sz val="11"/>
      <color theme="0" tint="-0.14999847407452621"/>
      <name val="Arial"/>
      <family val="2"/>
    </font>
    <font>
      <sz val="9"/>
      <color theme="0" tint="-0.14999847407452621"/>
      <name val="Arial"/>
      <family val="2"/>
    </font>
    <font>
      <b/>
      <sz val="18"/>
      <color theme="0"/>
      <name val="Arial"/>
      <family val="2"/>
    </font>
    <font>
      <u/>
      <sz val="10"/>
      <color theme="1"/>
      <name val="Arial"/>
      <family val="2"/>
    </font>
    <font>
      <strike/>
      <sz val="11"/>
      <color theme="1"/>
      <name val="Arial"/>
      <family val="2"/>
    </font>
    <font>
      <sz val="10"/>
      <color theme="0"/>
      <name val="Arial"/>
      <family val="2"/>
    </font>
    <font>
      <sz val="7"/>
      <name val="Arial"/>
      <family val="2"/>
    </font>
    <font>
      <b/>
      <sz val="9"/>
      <color theme="1"/>
      <name val="Arial"/>
      <family val="2"/>
    </font>
    <font>
      <strike/>
      <sz val="10"/>
      <color theme="1"/>
      <name val="Arial"/>
      <family val="2"/>
    </font>
    <font>
      <strike/>
      <sz val="10"/>
      <color rgb="FFFF0000"/>
      <name val="Arial"/>
      <family val="2"/>
    </font>
  </fonts>
  <fills count="36">
    <fill>
      <patternFill patternType="none"/>
    </fill>
    <fill>
      <patternFill patternType="gray125"/>
    </fill>
    <fill>
      <patternFill patternType="solid">
        <fgColor theme="6" tint="0.59999389629810485"/>
        <bgColor indexed="64"/>
      </patternFill>
    </fill>
    <fill>
      <patternFill patternType="solid">
        <fgColor rgb="FFFFFF99"/>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
      <patternFill patternType="solid">
        <fgColor theme="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DECD9"/>
        <bgColor indexed="64"/>
      </patternFill>
    </fill>
    <fill>
      <patternFill patternType="solid">
        <fgColor theme="4" tint="0.59999389629810485"/>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theme="6" tint="0.79998168889431442"/>
        <bgColor indexed="64"/>
      </patternFill>
    </fill>
    <fill>
      <patternFill patternType="solid">
        <fgColor rgb="FF99CCFF"/>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2F2F2"/>
        <bgColor indexed="64"/>
      </patternFill>
    </fill>
    <fill>
      <patternFill patternType="solid">
        <fgColor theme="8" tint="0.59999389629810485"/>
        <bgColor indexed="64"/>
      </patternFill>
    </fill>
    <fill>
      <patternFill patternType="solid">
        <fgColor rgb="FFFFFFCC"/>
        <bgColor indexed="64"/>
      </patternFill>
    </fill>
    <fill>
      <patternFill patternType="solid">
        <fgColor rgb="FF00B050"/>
        <bgColor indexed="64"/>
      </patternFill>
    </fill>
    <fill>
      <patternFill patternType="solid">
        <fgColor rgb="FFFBFD95"/>
        <bgColor indexed="64"/>
      </patternFill>
    </fill>
    <fill>
      <patternFill patternType="solid">
        <fgColor theme="2"/>
        <bgColor indexed="64"/>
      </patternFill>
    </fill>
    <fill>
      <patternFill patternType="solid">
        <fgColor theme="9" tint="0.59999389629810485"/>
        <bgColor indexed="64"/>
      </patternFill>
    </fill>
  </fills>
  <borders count="1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theme="0" tint="-0.499984740745262"/>
      </bottom>
      <diagonal/>
    </border>
    <border>
      <left/>
      <right/>
      <top/>
      <bottom style="dotted">
        <color theme="0" tint="-0.499984740745262"/>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tted">
        <color auto="1"/>
      </left>
      <right style="dotted">
        <color auto="1"/>
      </right>
      <top/>
      <bottom style="medium">
        <color rgb="FF0070C0"/>
      </bottom>
      <diagonal/>
    </border>
    <border>
      <left style="dotted">
        <color auto="1"/>
      </left>
      <right style="dotted">
        <color auto="1"/>
      </right>
      <top/>
      <bottom/>
      <diagonal/>
    </border>
    <border>
      <left style="dotted">
        <color auto="1"/>
      </left>
      <right style="dotted">
        <color auto="1"/>
      </right>
      <top style="medium">
        <color theme="6" tint="-0.24994659260841701"/>
      </top>
      <bottom/>
      <diagonal/>
    </border>
    <border>
      <left style="dotted">
        <color auto="1"/>
      </left>
      <right style="dotted">
        <color auto="1"/>
      </right>
      <top/>
      <bottom style="medium">
        <color theme="6" tint="-0.24994659260841701"/>
      </bottom>
      <diagonal/>
    </border>
    <border>
      <left style="dotted">
        <color auto="1"/>
      </left>
      <right style="dotted">
        <color auto="1"/>
      </right>
      <top style="medium">
        <color rgb="FF0070C0"/>
      </top>
      <bottom/>
      <diagonal/>
    </border>
    <border>
      <left style="medium">
        <color auto="1"/>
      </left>
      <right style="medium">
        <color auto="1"/>
      </right>
      <top style="medium">
        <color auto="1"/>
      </top>
      <bottom/>
      <diagonal/>
    </border>
    <border>
      <left style="dotted">
        <color auto="1"/>
      </left>
      <right style="medium">
        <color theme="6" tint="-0.24994659260841701"/>
      </right>
      <top style="medium">
        <color theme="6" tint="-0.24994659260841701"/>
      </top>
      <bottom/>
      <diagonal/>
    </border>
    <border>
      <left style="dotted">
        <color auto="1"/>
      </left>
      <right style="medium">
        <color theme="6" tint="-0.24994659260841701"/>
      </right>
      <top/>
      <bottom style="medium">
        <color theme="6" tint="-0.24994659260841701"/>
      </bottom>
      <diagonal/>
    </border>
    <border>
      <left style="dotted">
        <color auto="1"/>
      </left>
      <right style="medium">
        <color rgb="FF0070C0"/>
      </right>
      <top style="medium">
        <color rgb="FF0070C0"/>
      </top>
      <bottom/>
      <diagonal/>
    </border>
    <border>
      <left style="dotted">
        <color auto="1"/>
      </left>
      <right style="medium">
        <color rgb="FF0070C0"/>
      </right>
      <top/>
      <bottom style="medium">
        <color rgb="FF0070C0"/>
      </bottom>
      <diagonal/>
    </border>
    <border>
      <left style="dotted">
        <color auto="1"/>
      </left>
      <right style="medium">
        <color rgb="FF0070C0"/>
      </right>
      <top/>
      <bottom/>
      <diagonal/>
    </border>
    <border>
      <left style="medium">
        <color rgb="FF0070C0"/>
      </left>
      <right style="dotted">
        <color auto="1"/>
      </right>
      <top style="medium">
        <color rgb="FF0070C0"/>
      </top>
      <bottom/>
      <diagonal/>
    </border>
    <border>
      <left style="medium">
        <color rgb="FF0070C0"/>
      </left>
      <right style="dotted">
        <color auto="1"/>
      </right>
      <top/>
      <bottom style="medium">
        <color rgb="FF0070C0"/>
      </bottom>
      <diagonal/>
    </border>
    <border>
      <left style="medium">
        <color rgb="FF0070C0"/>
      </left>
      <right style="dotted">
        <color auto="1"/>
      </right>
      <top/>
      <bottom/>
      <diagonal/>
    </border>
    <border>
      <left style="dotted">
        <color auto="1"/>
      </left>
      <right style="dotted">
        <color auto="1"/>
      </right>
      <top style="medium">
        <color indexed="64"/>
      </top>
      <bottom/>
      <diagonal/>
    </border>
    <border>
      <left style="dotted">
        <color auto="1"/>
      </left>
      <right style="dotted">
        <color auto="1"/>
      </right>
      <top/>
      <bottom style="medium">
        <color indexed="64"/>
      </bottom>
      <diagonal/>
    </border>
    <border>
      <left style="dotted">
        <color auto="1"/>
      </left>
      <right style="medium">
        <color auto="1"/>
      </right>
      <top style="medium">
        <color indexed="64"/>
      </top>
      <bottom/>
      <diagonal/>
    </border>
    <border>
      <left style="dotted">
        <color auto="1"/>
      </left>
      <right style="medium">
        <color auto="1"/>
      </right>
      <top/>
      <bottom style="medium">
        <color indexed="64"/>
      </bottom>
      <diagonal/>
    </border>
    <border>
      <left style="medium">
        <color indexed="64"/>
      </left>
      <right style="dotted">
        <color auto="1"/>
      </right>
      <top style="medium">
        <color indexed="64"/>
      </top>
      <bottom/>
      <diagonal/>
    </border>
    <border>
      <left style="medium">
        <color indexed="64"/>
      </left>
      <right style="dotted">
        <color auto="1"/>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top/>
      <bottom style="dotted">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theme="6" tint="-0.24994659260841701"/>
      </left>
      <right style="dotted">
        <color auto="1"/>
      </right>
      <top style="medium">
        <color theme="6" tint="-0.24994659260841701"/>
      </top>
      <bottom/>
      <diagonal/>
    </border>
    <border>
      <left style="medium">
        <color theme="6" tint="-0.24994659260841701"/>
      </left>
      <right style="dotted">
        <color auto="1"/>
      </right>
      <top/>
      <bottom style="medium">
        <color theme="6" tint="-0.24994659260841701"/>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auto="1"/>
      </left>
      <right style="medium">
        <color auto="1"/>
      </right>
      <top style="medium">
        <color auto="1"/>
      </top>
      <bottom style="double">
        <color indexed="64"/>
      </bottom>
      <diagonal/>
    </border>
    <border>
      <left/>
      <right style="thin">
        <color indexed="64"/>
      </right>
      <top/>
      <bottom style="medium">
        <color auto="1"/>
      </bottom>
      <diagonal/>
    </border>
    <border>
      <left/>
      <right/>
      <top style="double">
        <color indexed="64"/>
      </top>
      <bottom/>
      <diagonal/>
    </border>
    <border>
      <left/>
      <right/>
      <top style="double">
        <color indexed="64"/>
      </top>
      <bottom style="thin">
        <color indexed="64"/>
      </bottom>
      <diagonal/>
    </border>
    <border>
      <left style="medium">
        <color auto="1"/>
      </left>
      <right style="medium">
        <color auto="1"/>
      </right>
      <top/>
      <bottom style="double">
        <color indexed="64"/>
      </bottom>
      <diagonal/>
    </border>
    <border>
      <left style="thin">
        <color indexed="64"/>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auto="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theme="1" tint="0.499984740745262"/>
      </bottom>
      <diagonal/>
    </border>
    <border>
      <left/>
      <right style="thin">
        <color indexed="64"/>
      </right>
      <top style="thin">
        <color indexed="64"/>
      </top>
      <bottom style="thin">
        <color theme="0" tint="-0.1499679555650502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auto="1"/>
      </bottom>
      <diagonal/>
    </border>
  </borders>
  <cellStyleXfs count="19">
    <xf numFmtId="0" fontId="0" fillId="0" borderId="0"/>
    <xf numFmtId="0" fontId="59" fillId="0" borderId="0" applyNumberFormat="0" applyFill="0" applyBorder="0" applyAlignment="0" applyProtection="0">
      <alignment vertical="top"/>
      <protection locked="0"/>
    </xf>
    <xf numFmtId="44" fontId="46" fillId="0" borderId="0" applyFont="0" applyFill="0" applyBorder="0" applyAlignment="0" applyProtection="0"/>
    <xf numFmtId="9" fontId="46" fillId="0" borderId="0" applyFont="0" applyFill="0" applyBorder="0" applyAlignment="0" applyProtection="0"/>
    <xf numFmtId="0" fontId="46" fillId="13" borderId="68" applyNumberFormat="0" applyAlignment="0">
      <protection locked="0"/>
    </xf>
    <xf numFmtId="171" fontId="57" fillId="0" borderId="0" applyFont="0" applyFill="0" applyBorder="0" applyAlignment="0" applyProtection="0"/>
    <xf numFmtId="0" fontId="46" fillId="14" borderId="0" applyNumberFormat="0" applyFont="0" applyBorder="0" applyAlignment="0" applyProtection="0"/>
    <xf numFmtId="0" fontId="46" fillId="15" borderId="0" applyNumberFormat="0" applyFont="0" applyBorder="0" applyAlignment="0" applyProtection="0"/>
    <xf numFmtId="14" fontId="57" fillId="13" borderId="14" applyFont="0" applyFill="0" applyBorder="0" applyAlignment="0" applyProtection="0">
      <alignment vertical="center"/>
      <protection locked="0"/>
    </xf>
    <xf numFmtId="0" fontId="46" fillId="13" borderId="68" applyNumberFormat="0" applyAlignment="0">
      <protection locked="0"/>
    </xf>
    <xf numFmtId="0" fontId="50" fillId="13" borderId="14" applyNumberFormat="0" applyFont="0" applyAlignment="0">
      <protection locked="0"/>
    </xf>
    <xf numFmtId="0" fontId="57" fillId="0" borderId="0" applyNumberFormat="0" applyFont="0" applyBorder="0" applyAlignment="0"/>
    <xf numFmtId="0" fontId="57" fillId="16" borderId="0" applyNumberFormat="0" applyFont="0" applyBorder="0" applyAlignment="0" applyProtection="0"/>
    <xf numFmtId="0" fontId="57" fillId="0" borderId="0" applyBorder="0">
      <alignment vertical="center"/>
    </xf>
    <xf numFmtId="2" fontId="57" fillId="0" borderId="0" applyFont="0" applyFill="0" applyBorder="0" applyAlignment="0" applyProtection="0"/>
    <xf numFmtId="49" fontId="57" fillId="0" borderId="0" applyFont="0" applyFill="0" applyBorder="0" applyAlignment="0" applyProtection="0">
      <alignment vertical="center"/>
    </xf>
    <xf numFmtId="172" fontId="57" fillId="0" borderId="0" applyFont="0" applyFill="0" applyBorder="0" applyAlignment="0" applyProtection="0"/>
    <xf numFmtId="184" fontId="46" fillId="0" borderId="0" applyFont="0" applyFill="0" applyBorder="0" applyAlignment="0" applyProtection="0"/>
    <xf numFmtId="0" fontId="57" fillId="0" borderId="0" applyBorder="0">
      <alignment vertical="center"/>
    </xf>
  </cellStyleXfs>
  <cellXfs count="1306">
    <xf numFmtId="0" fontId="0" fillId="0" borderId="0" xfId="0"/>
    <xf numFmtId="0" fontId="47" fillId="0" borderId="0" xfId="0" applyFont="1"/>
    <xf numFmtId="0" fontId="0" fillId="0" borderId="4" xfId="0" applyBorder="1" applyProtection="1">
      <protection hidden="1"/>
    </xf>
    <xf numFmtId="0" fontId="0" fillId="0" borderId="0" xfId="0" applyProtection="1">
      <protection hidden="1"/>
    </xf>
    <xf numFmtId="0" fontId="0" fillId="0" borderId="5" xfId="0" applyBorder="1" applyProtection="1">
      <protection hidden="1"/>
    </xf>
    <xf numFmtId="0" fontId="51" fillId="0" borderId="0" xfId="0" applyFont="1" applyProtection="1">
      <protection hidden="1"/>
    </xf>
    <xf numFmtId="0" fontId="51" fillId="0" borderId="0" xfId="0" applyFont="1" applyAlignment="1" applyProtection="1">
      <alignment horizontal="right"/>
      <protection hidden="1"/>
    </xf>
    <xf numFmtId="0" fontId="52" fillId="0" borderId="0" xfId="0" applyFont="1" applyAlignment="1" applyProtection="1">
      <alignment horizontal="center"/>
      <protection hidden="1"/>
    </xf>
    <xf numFmtId="0" fontId="53" fillId="0" borderId="0" xfId="0" applyFont="1" applyAlignment="1" applyProtection="1">
      <alignment horizontal="right"/>
      <protection hidden="1"/>
    </xf>
    <xf numFmtId="0" fontId="55" fillId="0" borderId="0" xfId="0" applyFont="1"/>
    <xf numFmtId="0" fontId="53" fillId="0" borderId="0" xfId="0" applyFont="1" applyProtection="1">
      <protection hidden="1"/>
    </xf>
    <xf numFmtId="0" fontId="45" fillId="0" borderId="0" xfId="0" applyFont="1" applyProtection="1">
      <protection hidden="1"/>
    </xf>
    <xf numFmtId="0" fontId="57" fillId="0" borderId="5" xfId="0" applyFont="1" applyBorder="1" applyProtection="1">
      <protection hidden="1"/>
    </xf>
    <xf numFmtId="0" fontId="58" fillId="0" borderId="0" xfId="0" applyFont="1" applyAlignment="1" applyProtection="1">
      <alignment vertical="top"/>
      <protection hidden="1"/>
    </xf>
    <xf numFmtId="0" fontId="58" fillId="0" borderId="5" xfId="0" applyFont="1" applyBorder="1" applyAlignment="1" applyProtection="1">
      <alignment vertical="top"/>
      <protection hidden="1"/>
    </xf>
    <xf numFmtId="0" fontId="58" fillId="0" borderId="0" xfId="0" applyFont="1" applyProtection="1">
      <protection hidden="1"/>
    </xf>
    <xf numFmtId="0" fontId="52" fillId="0" borderId="0" xfId="0" applyFont="1" applyProtection="1">
      <protection hidden="1"/>
    </xf>
    <xf numFmtId="0" fontId="45" fillId="0" borderId="0" xfId="0" applyFont="1" applyAlignment="1" applyProtection="1">
      <alignment horizontal="right"/>
      <protection hidden="1"/>
    </xf>
    <xf numFmtId="0" fontId="57" fillId="0" borderId="0" xfId="0" applyFont="1"/>
    <xf numFmtId="0" fontId="0" fillId="0" borderId="5" xfId="0" applyBorder="1"/>
    <xf numFmtId="0" fontId="0" fillId="0" borderId="4" xfId="0" applyBorder="1"/>
    <xf numFmtId="0" fontId="0" fillId="0" borderId="2" xfId="0" applyBorder="1"/>
    <xf numFmtId="0" fontId="58" fillId="0" borderId="2" xfId="0" applyFont="1" applyBorder="1" applyAlignment="1" applyProtection="1">
      <alignment horizontal="center" vertical="top"/>
      <protection hidden="1"/>
    </xf>
    <xf numFmtId="0" fontId="45" fillId="0" borderId="6" xfId="0" applyFont="1" applyBorder="1" applyProtection="1">
      <protection hidden="1"/>
    </xf>
    <xf numFmtId="0" fontId="45" fillId="0" borderId="7" xfId="0" applyFont="1" applyBorder="1" applyProtection="1">
      <protection hidden="1"/>
    </xf>
    <xf numFmtId="0" fontId="45" fillId="0" borderId="4" xfId="0" applyFont="1" applyBorder="1" applyProtection="1">
      <protection hidden="1"/>
    </xf>
    <xf numFmtId="2" fontId="57" fillId="0" borderId="7" xfId="0" applyNumberFormat="1" applyFont="1" applyBorder="1" applyProtection="1">
      <protection hidden="1"/>
    </xf>
    <xf numFmtId="0" fontId="45" fillId="0" borderId="7" xfId="0" applyFont="1" applyBorder="1" applyAlignment="1" applyProtection="1">
      <alignment horizontal="right"/>
      <protection hidden="1"/>
    </xf>
    <xf numFmtId="2" fontId="45" fillId="0" borderId="7" xfId="0" applyNumberFormat="1" applyFont="1" applyBorder="1" applyAlignment="1" applyProtection="1">
      <alignment horizontal="right"/>
      <protection hidden="1"/>
    </xf>
    <xf numFmtId="2" fontId="57" fillId="0" borderId="0" xfId="0" applyNumberFormat="1" applyFont="1" applyProtection="1">
      <protection hidden="1"/>
    </xf>
    <xf numFmtId="0" fontId="45" fillId="0" borderId="5" xfId="0" applyFont="1" applyBorder="1" applyProtection="1">
      <protection hidden="1"/>
    </xf>
    <xf numFmtId="0" fontId="0" fillId="0" borderId="4" xfId="0" applyBorder="1" applyAlignment="1" applyProtection="1">
      <alignment vertical="center"/>
      <protection hidden="1"/>
    </xf>
    <xf numFmtId="0" fontId="45" fillId="0" borderId="0" xfId="0" applyFont="1" applyAlignment="1" applyProtection="1">
      <alignment vertical="center"/>
      <protection hidden="1"/>
    </xf>
    <xf numFmtId="0" fontId="0" fillId="0" borderId="5" xfId="0" applyBorder="1" applyAlignment="1" applyProtection="1">
      <alignment vertical="center"/>
      <protection hidden="1"/>
    </xf>
    <xf numFmtId="0" fontId="0" fillId="0" borderId="0" xfId="0" applyAlignment="1" applyProtection="1">
      <alignment vertical="center"/>
      <protection hidden="1"/>
    </xf>
    <xf numFmtId="0" fontId="0" fillId="0" borderId="6" xfId="0" applyBorder="1" applyProtection="1">
      <protection hidden="1"/>
    </xf>
    <xf numFmtId="0" fontId="0" fillId="0" borderId="7" xfId="0" applyBorder="1" applyProtection="1">
      <protection hidden="1"/>
    </xf>
    <xf numFmtId="0" fontId="56" fillId="0" borderId="0" xfId="0" applyFont="1" applyProtection="1">
      <protection hidden="1"/>
    </xf>
    <xf numFmtId="0" fontId="0" fillId="2" borderId="0" xfId="0" applyFill="1" applyProtection="1">
      <protection hidden="1"/>
    </xf>
    <xf numFmtId="0" fontId="52" fillId="2" borderId="0" xfId="0" applyFont="1" applyFill="1" applyProtection="1">
      <protection hidden="1"/>
    </xf>
    <xf numFmtId="0" fontId="45" fillId="8" borderId="0" xfId="0" applyFont="1" applyFill="1" applyProtection="1">
      <protection hidden="1"/>
    </xf>
    <xf numFmtId="0" fontId="45" fillId="8" borderId="0" xfId="0" applyFont="1" applyFill="1" applyAlignment="1" applyProtection="1">
      <alignment horizontal="right"/>
      <protection hidden="1"/>
    </xf>
    <xf numFmtId="0" fontId="46" fillId="0" borderId="4" xfId="0" applyFont="1" applyBorder="1"/>
    <xf numFmtId="0" fontId="70" fillId="0" borderId="0" xfId="0" applyFont="1"/>
    <xf numFmtId="0" fontId="46" fillId="0" borderId="0" xfId="0" applyFont="1"/>
    <xf numFmtId="0" fontId="46" fillId="0" borderId="5" xfId="0" applyFont="1" applyBorder="1"/>
    <xf numFmtId="0" fontId="77" fillId="0" borderId="0" xfId="0" applyFont="1"/>
    <xf numFmtId="0" fontId="50" fillId="0" borderId="0" xfId="0" applyFont="1"/>
    <xf numFmtId="0" fontId="58" fillId="0" borderId="0" xfId="0" applyFont="1"/>
    <xf numFmtId="0" fontId="50" fillId="0" borderId="5" xfId="0" applyFont="1" applyBorder="1"/>
    <xf numFmtId="0" fontId="63" fillId="0" borderId="0" xfId="0" applyFont="1"/>
    <xf numFmtId="0" fontId="57" fillId="0" borderId="5" xfId="0" applyFont="1" applyBorder="1"/>
    <xf numFmtId="0" fontId="46" fillId="0" borderId="27" xfId="0" applyFont="1" applyBorder="1"/>
    <xf numFmtId="0" fontId="46" fillId="0" borderId="28" xfId="0" applyFont="1" applyBorder="1"/>
    <xf numFmtId="0" fontId="50" fillId="0" borderId="28" xfId="0" applyFont="1" applyBorder="1"/>
    <xf numFmtId="0" fontId="57" fillId="0" borderId="28" xfId="0" applyFont="1" applyBorder="1"/>
    <xf numFmtId="0" fontId="57" fillId="0" borderId="29" xfId="0" applyFont="1" applyBorder="1"/>
    <xf numFmtId="0" fontId="71" fillId="0" borderId="0" xfId="0" applyFont="1"/>
    <xf numFmtId="0" fontId="46" fillId="0" borderId="6" xfId="0" applyFont="1" applyBorder="1"/>
    <xf numFmtId="0" fontId="46" fillId="0" borderId="8" xfId="0" applyFont="1" applyBorder="1"/>
    <xf numFmtId="0" fontId="48" fillId="0" borderId="0" xfId="0" applyFont="1"/>
    <xf numFmtId="0" fontId="78" fillId="0" borderId="0" xfId="0" applyFont="1"/>
    <xf numFmtId="0" fontId="0" fillId="7" borderId="0" xfId="0" applyFill="1"/>
    <xf numFmtId="0" fontId="0" fillId="7" borderId="0" xfId="0" applyFill="1" applyAlignment="1">
      <alignment horizontal="center"/>
    </xf>
    <xf numFmtId="9" fontId="63" fillId="7" borderId="0" xfId="0" applyNumberFormat="1" applyFont="1" applyFill="1"/>
    <xf numFmtId="0" fontId="45" fillId="0" borderId="0" xfId="0" quotePrefix="1" applyFont="1" applyAlignment="1" applyProtection="1">
      <alignment horizontal="left"/>
      <protection hidden="1"/>
    </xf>
    <xf numFmtId="0" fontId="45" fillId="0" borderId="0" xfId="0" applyFont="1" applyAlignment="1" applyProtection="1">
      <alignment horizontal="left"/>
      <protection hidden="1"/>
    </xf>
    <xf numFmtId="0" fontId="58" fillId="2" borderId="0" xfId="0" applyFont="1" applyFill="1" applyAlignment="1" applyProtection="1">
      <alignment vertical="top"/>
      <protection hidden="1"/>
    </xf>
    <xf numFmtId="0" fontId="51" fillId="2" borderId="0" xfId="0" applyFont="1" applyFill="1" applyAlignment="1" applyProtection="1">
      <alignment vertical="center"/>
      <protection hidden="1"/>
    </xf>
    <xf numFmtId="0" fontId="57" fillId="0" borderId="5" xfId="0" applyFont="1" applyBorder="1" applyAlignment="1">
      <alignment horizontal="left" vertical="top"/>
    </xf>
    <xf numFmtId="0" fontId="57" fillId="0" borderId="5" xfId="0" applyFont="1" applyBorder="1" applyAlignment="1">
      <alignment horizontal="left"/>
    </xf>
    <xf numFmtId="2" fontId="45" fillId="0" borderId="17" xfId="0" applyNumberFormat="1" applyFont="1" applyBorder="1" applyAlignment="1" applyProtection="1">
      <alignment horizontal="right"/>
      <protection hidden="1"/>
    </xf>
    <xf numFmtId="14" fontId="68" fillId="0" borderId="0" xfId="0" applyNumberFormat="1" applyFont="1" applyProtection="1">
      <protection hidden="1"/>
    </xf>
    <xf numFmtId="0" fontId="0" fillId="0" borderId="2" xfId="0" applyBorder="1" applyProtection="1">
      <protection hidden="1"/>
    </xf>
    <xf numFmtId="2" fontId="45" fillId="0" borderId="0" xfId="0" applyNumberFormat="1" applyFont="1" applyProtection="1">
      <protection hidden="1"/>
    </xf>
    <xf numFmtId="0" fontId="57" fillId="0" borderId="0" xfId="0" applyFont="1" applyAlignment="1">
      <alignment horizontal="left" vertical="top"/>
    </xf>
    <xf numFmtId="0" fontId="57" fillId="0" borderId="0" xfId="0" applyFont="1" applyAlignment="1">
      <alignment horizontal="left"/>
    </xf>
    <xf numFmtId="0" fontId="46" fillId="6" borderId="0" xfId="0" applyFont="1" applyFill="1" applyAlignment="1">
      <alignment horizontal="center"/>
    </xf>
    <xf numFmtId="0" fontId="70" fillId="0" borderId="4" xfId="0" applyFont="1" applyBorder="1"/>
    <xf numFmtId="0" fontId="70" fillId="9" borderId="15" xfId="0" applyFont="1" applyFill="1" applyBorder="1" applyAlignment="1" applyProtection="1">
      <alignment horizontal="center" vertical="center"/>
      <protection locked="0"/>
    </xf>
    <xf numFmtId="0" fontId="80" fillId="0" borderId="0" xfId="0" applyFont="1"/>
    <xf numFmtId="0" fontId="70" fillId="0" borderId="5" xfId="0" applyFont="1" applyBorder="1"/>
    <xf numFmtId="0" fontId="80" fillId="0" borderId="4" xfId="0" applyFont="1" applyBorder="1"/>
    <xf numFmtId="0" fontId="81" fillId="0" borderId="0" xfId="0" applyFont="1"/>
    <xf numFmtId="0" fontId="80" fillId="0" borderId="5" xfId="0" applyFont="1" applyBorder="1"/>
    <xf numFmtId="0" fontId="49" fillId="9" borderId="15" xfId="0" applyFont="1" applyFill="1" applyBorder="1" applyAlignment="1" applyProtection="1">
      <alignment horizontal="center" vertical="center"/>
      <protection locked="0"/>
    </xf>
    <xf numFmtId="0" fontId="81" fillId="0" borderId="5" xfId="0" applyFont="1" applyBorder="1"/>
    <xf numFmtId="0" fontId="52" fillId="9" borderId="15" xfId="0" applyFont="1" applyFill="1" applyBorder="1" applyAlignment="1" applyProtection="1">
      <alignment horizontal="center" vertical="center"/>
      <protection locked="0"/>
    </xf>
    <xf numFmtId="0" fontId="57" fillId="0" borderId="0" xfId="0" applyFont="1" applyAlignment="1">
      <alignment vertical="top"/>
    </xf>
    <xf numFmtId="0" fontId="0" fillId="0" borderId="7" xfId="0" applyBorder="1"/>
    <xf numFmtId="0" fontId="50" fillId="0" borderId="7" xfId="0" applyFont="1" applyBorder="1"/>
    <xf numFmtId="0" fontId="82" fillId="0" borderId="0" xfId="0" applyFont="1"/>
    <xf numFmtId="0" fontId="52" fillId="3" borderId="14" xfId="0" applyFont="1" applyFill="1" applyBorder="1" applyAlignment="1" applyProtection="1">
      <alignment horizontal="center"/>
      <protection locked="0"/>
    </xf>
    <xf numFmtId="0" fontId="46" fillId="6" borderId="0" xfId="0" applyFont="1" applyFill="1" applyProtection="1">
      <protection hidden="1"/>
    </xf>
    <xf numFmtId="0" fontId="57" fillId="6" borderId="0" xfId="0" applyFont="1" applyFill="1" applyProtection="1">
      <protection hidden="1"/>
    </xf>
    <xf numFmtId="0" fontId="52" fillId="6" borderId="0" xfId="0" applyFont="1" applyFill="1" applyAlignment="1" applyProtection="1">
      <alignment horizontal="center"/>
      <protection hidden="1"/>
    </xf>
    <xf numFmtId="0" fontId="46" fillId="0" borderId="0" xfId="0" applyFont="1" applyProtection="1">
      <protection hidden="1"/>
    </xf>
    <xf numFmtId="0" fontId="46" fillId="3" borderId="14" xfId="0" applyFont="1" applyFill="1" applyBorder="1" applyProtection="1">
      <protection locked="0"/>
    </xf>
    <xf numFmtId="2" fontId="66" fillId="8" borderId="0" xfId="0" applyNumberFormat="1" applyFont="1" applyFill="1" applyAlignment="1" applyProtection="1">
      <alignment horizontal="center"/>
      <protection hidden="1"/>
    </xf>
    <xf numFmtId="10" fontId="66" fillId="8" borderId="0" xfId="0" applyNumberFormat="1" applyFont="1" applyFill="1" applyAlignment="1" applyProtection="1">
      <alignment horizontal="center"/>
      <protection hidden="1"/>
    </xf>
    <xf numFmtId="165" fontId="66" fillId="8" borderId="0" xfId="0" applyNumberFormat="1" applyFont="1" applyFill="1" applyAlignment="1" applyProtection="1">
      <alignment horizontal="center"/>
      <protection hidden="1"/>
    </xf>
    <xf numFmtId="0" fontId="51" fillId="8" borderId="43" xfId="0" applyFont="1" applyFill="1" applyBorder="1" applyAlignment="1" applyProtection="1">
      <alignment horizontal="center"/>
      <protection hidden="1"/>
    </xf>
    <xf numFmtId="0" fontId="66" fillId="8" borderId="39" xfId="0" applyFont="1" applyFill="1" applyBorder="1" applyProtection="1">
      <protection hidden="1"/>
    </xf>
    <xf numFmtId="0" fontId="73" fillId="8" borderId="41" xfId="0" applyFont="1" applyFill="1" applyBorder="1" applyAlignment="1" applyProtection="1">
      <alignment horizontal="center"/>
      <protection hidden="1"/>
    </xf>
    <xf numFmtId="0" fontId="45" fillId="8" borderId="39" xfId="0" applyFont="1" applyFill="1" applyBorder="1" applyProtection="1">
      <protection hidden="1"/>
    </xf>
    <xf numFmtId="170" fontId="72" fillId="8" borderId="42" xfId="0" applyNumberFormat="1" applyFont="1" applyFill="1" applyBorder="1" applyAlignment="1" applyProtection="1">
      <alignment horizontal="center" vertical="center"/>
      <protection hidden="1"/>
    </xf>
    <xf numFmtId="170" fontId="72" fillId="8" borderId="46" xfId="0" applyNumberFormat="1" applyFont="1" applyFill="1" applyBorder="1" applyAlignment="1" applyProtection="1">
      <alignment horizontal="center" vertical="center"/>
      <protection hidden="1"/>
    </xf>
    <xf numFmtId="2" fontId="62" fillId="8" borderId="39" xfId="0" applyNumberFormat="1" applyFont="1" applyFill="1" applyBorder="1" applyAlignment="1" applyProtection="1">
      <alignment horizontal="center" vertical="center"/>
      <protection hidden="1"/>
    </xf>
    <xf numFmtId="0" fontId="72" fillId="8" borderId="39" xfId="0" applyFont="1" applyFill="1" applyBorder="1" applyAlignment="1" applyProtection="1">
      <alignment horizontal="center" vertical="center"/>
      <protection hidden="1"/>
    </xf>
    <xf numFmtId="2" fontId="72" fillId="8" borderId="39" xfId="0" applyNumberFormat="1" applyFont="1" applyFill="1" applyBorder="1" applyAlignment="1" applyProtection="1">
      <alignment horizontal="center" vertical="center"/>
      <protection hidden="1"/>
    </xf>
    <xf numFmtId="2" fontId="72" fillId="8" borderId="48" xfId="0" applyNumberFormat="1" applyFont="1" applyFill="1" applyBorder="1" applyAlignment="1" applyProtection="1">
      <alignment horizontal="center" vertical="center"/>
      <protection hidden="1"/>
    </xf>
    <xf numFmtId="0" fontId="61" fillId="8" borderId="38" xfId="0" applyFont="1" applyFill="1" applyBorder="1" applyAlignment="1" applyProtection="1">
      <alignment horizontal="center" vertical="center"/>
      <protection hidden="1"/>
    </xf>
    <xf numFmtId="10" fontId="85" fillId="8" borderId="38" xfId="3" applyNumberFormat="1" applyFont="1" applyFill="1" applyBorder="1" applyAlignment="1" applyProtection="1">
      <alignment horizontal="center" vertical="center"/>
      <protection hidden="1"/>
    </xf>
    <xf numFmtId="0" fontId="45" fillId="8" borderId="42" xfId="0" applyFont="1" applyFill="1" applyBorder="1" applyProtection="1">
      <protection hidden="1"/>
    </xf>
    <xf numFmtId="0" fontId="51" fillId="8" borderId="52" xfId="0" applyFont="1" applyFill="1" applyBorder="1" applyAlignment="1" applyProtection="1">
      <alignment horizontal="center"/>
      <protection hidden="1"/>
    </xf>
    <xf numFmtId="0" fontId="51" fillId="8" borderId="54" xfId="0" applyFont="1" applyFill="1" applyBorder="1" applyAlignment="1" applyProtection="1">
      <alignment horizontal="center"/>
      <protection hidden="1"/>
    </xf>
    <xf numFmtId="0" fontId="45" fillId="8" borderId="53" xfId="0" applyFont="1" applyFill="1" applyBorder="1" applyProtection="1">
      <protection hidden="1"/>
    </xf>
    <xf numFmtId="10" fontId="87" fillId="7" borderId="53" xfId="3" applyNumberFormat="1" applyFont="1" applyFill="1" applyBorder="1" applyProtection="1">
      <protection hidden="1"/>
    </xf>
    <xf numFmtId="10" fontId="87" fillId="7" borderId="55" xfId="3" applyNumberFormat="1" applyFont="1" applyFill="1" applyBorder="1" applyProtection="1">
      <protection hidden="1"/>
    </xf>
    <xf numFmtId="10" fontId="85" fillId="7" borderId="38" xfId="3" applyNumberFormat="1" applyFont="1" applyFill="1" applyBorder="1" applyAlignment="1" applyProtection="1">
      <alignment horizontal="center" vertical="center"/>
      <protection hidden="1"/>
    </xf>
    <xf numFmtId="10" fontId="85" fillId="7" borderId="47" xfId="3" applyNumberFormat="1" applyFont="1" applyFill="1" applyBorder="1" applyAlignment="1" applyProtection="1">
      <alignment horizontal="center" vertical="center"/>
      <protection hidden="1"/>
    </xf>
    <xf numFmtId="10" fontId="86" fillId="7" borderId="41" xfId="3" applyNumberFormat="1" applyFont="1" applyFill="1" applyBorder="1" applyAlignment="1" applyProtection="1">
      <alignment horizontal="center"/>
      <protection hidden="1"/>
    </xf>
    <xf numFmtId="10" fontId="86" fillId="7" borderId="45" xfId="3" applyNumberFormat="1" applyFont="1" applyFill="1" applyBorder="1" applyAlignment="1" applyProtection="1">
      <alignment horizontal="center"/>
      <protection hidden="1"/>
    </xf>
    <xf numFmtId="0" fontId="89" fillId="0" borderId="0" xfId="0" applyFont="1"/>
    <xf numFmtId="0" fontId="90" fillId="0" borderId="0" xfId="0" applyFont="1" applyAlignment="1">
      <alignment vertical="top"/>
    </xf>
    <xf numFmtId="0" fontId="0" fillId="11" borderId="0" xfId="0" applyFill="1" applyProtection="1">
      <protection hidden="1"/>
    </xf>
    <xf numFmtId="0" fontId="91" fillId="11" borderId="0" xfId="0" applyFont="1" applyFill="1" applyProtection="1">
      <protection hidden="1"/>
    </xf>
    <xf numFmtId="0" fontId="91" fillId="10" borderId="66" xfId="0" applyFont="1" applyFill="1" applyBorder="1" applyAlignment="1" applyProtection="1">
      <alignment horizontal="center"/>
      <protection hidden="1"/>
    </xf>
    <xf numFmtId="0" fontId="91" fillId="10" borderId="37" xfId="0" applyFont="1" applyFill="1" applyBorder="1" applyAlignment="1" applyProtection="1">
      <alignment horizontal="center"/>
      <protection hidden="1"/>
    </xf>
    <xf numFmtId="0" fontId="91" fillId="10" borderId="13" xfId="0" applyFont="1" applyFill="1" applyBorder="1" applyAlignment="1" applyProtection="1">
      <alignment horizontal="center"/>
      <protection hidden="1"/>
    </xf>
    <xf numFmtId="0" fontId="91" fillId="7" borderId="14" xfId="0" applyFont="1" applyFill="1" applyBorder="1" applyAlignment="1" applyProtection="1">
      <alignment horizontal="center"/>
      <protection hidden="1"/>
    </xf>
    <xf numFmtId="0" fontId="91" fillId="11" borderId="59" xfId="0" applyFont="1" applyFill="1" applyBorder="1" applyProtection="1">
      <protection hidden="1"/>
    </xf>
    <xf numFmtId="0" fontId="91" fillId="11" borderId="58" xfId="0" applyFont="1" applyFill="1" applyBorder="1" applyProtection="1">
      <protection hidden="1"/>
    </xf>
    <xf numFmtId="0" fontId="91" fillId="11" borderId="60" xfId="0" applyFont="1" applyFill="1" applyBorder="1" applyProtection="1">
      <protection hidden="1"/>
    </xf>
    <xf numFmtId="0" fontId="91" fillId="11" borderId="61" xfId="0" applyFont="1" applyFill="1" applyBorder="1" applyProtection="1">
      <protection hidden="1"/>
    </xf>
    <xf numFmtId="0" fontId="91" fillId="11" borderId="62" xfId="0" applyFont="1" applyFill="1" applyBorder="1" applyProtection="1">
      <protection hidden="1"/>
    </xf>
    <xf numFmtId="0" fontId="91" fillId="11" borderId="63" xfId="0" applyFont="1" applyFill="1" applyBorder="1" applyProtection="1">
      <protection hidden="1"/>
    </xf>
    <xf numFmtId="0" fontId="91" fillId="10" borderId="3" xfId="0" applyFont="1" applyFill="1" applyBorder="1" applyAlignment="1" applyProtection="1">
      <alignment horizontal="center"/>
      <protection hidden="1"/>
    </xf>
    <xf numFmtId="0" fontId="92" fillId="11" borderId="0" xfId="0" applyFont="1" applyFill="1" applyProtection="1">
      <protection hidden="1"/>
    </xf>
    <xf numFmtId="0" fontId="91" fillId="11" borderId="21" xfId="0" applyFont="1" applyFill="1" applyBorder="1" applyProtection="1">
      <protection hidden="1"/>
    </xf>
    <xf numFmtId="0" fontId="91" fillId="11" borderId="7" xfId="0" applyFont="1" applyFill="1" applyBorder="1" applyProtection="1">
      <protection hidden="1"/>
    </xf>
    <xf numFmtId="0" fontId="91" fillId="11" borderId="21" xfId="0" applyFont="1" applyFill="1" applyBorder="1" applyAlignment="1" applyProtection="1">
      <alignment horizontal="center"/>
      <protection hidden="1"/>
    </xf>
    <xf numFmtId="0" fontId="91" fillId="11" borderId="7" xfId="0" applyFont="1" applyFill="1" applyBorder="1" applyAlignment="1" applyProtection="1">
      <alignment horizontal="center"/>
      <protection hidden="1"/>
    </xf>
    <xf numFmtId="0" fontId="91" fillId="11" borderId="19" xfId="0" applyFont="1" applyFill="1" applyBorder="1" applyProtection="1">
      <protection hidden="1"/>
    </xf>
    <xf numFmtId="0" fontId="91" fillId="0" borderId="0" xfId="0" applyFont="1" applyProtection="1">
      <protection hidden="1"/>
    </xf>
    <xf numFmtId="0" fontId="91" fillId="0" borderId="19" xfId="0" applyFont="1" applyBorder="1" applyProtection="1">
      <protection hidden="1"/>
    </xf>
    <xf numFmtId="0" fontId="91" fillId="11" borderId="0" xfId="0" applyFont="1" applyFill="1" applyAlignment="1" applyProtection="1">
      <alignment horizontal="center"/>
      <protection hidden="1"/>
    </xf>
    <xf numFmtId="0" fontId="91" fillId="6" borderId="19" xfId="0" applyFont="1" applyFill="1" applyBorder="1" applyProtection="1">
      <protection hidden="1"/>
    </xf>
    <xf numFmtId="0" fontId="93" fillId="11" borderId="0" xfId="0" applyFont="1" applyFill="1" applyProtection="1">
      <protection hidden="1"/>
    </xf>
    <xf numFmtId="0" fontId="91" fillId="11" borderId="25" xfId="0" applyFont="1" applyFill="1" applyBorder="1" applyProtection="1">
      <protection hidden="1"/>
    </xf>
    <xf numFmtId="0" fontId="91" fillId="7" borderId="37" xfId="0" applyFont="1" applyFill="1" applyBorder="1" applyProtection="1">
      <protection hidden="1"/>
    </xf>
    <xf numFmtId="0" fontId="94" fillId="11" borderId="0" xfId="0" applyFont="1" applyFill="1" applyProtection="1">
      <protection hidden="1"/>
    </xf>
    <xf numFmtId="0" fontId="92" fillId="7" borderId="19" xfId="0" applyFont="1" applyFill="1" applyBorder="1" applyProtection="1">
      <protection hidden="1"/>
    </xf>
    <xf numFmtId="0" fontId="95" fillId="11" borderId="0" xfId="0" applyFont="1" applyFill="1" applyProtection="1">
      <protection hidden="1"/>
    </xf>
    <xf numFmtId="0" fontId="96" fillId="11" borderId="0" xfId="0" applyFont="1" applyFill="1" applyProtection="1">
      <protection hidden="1"/>
    </xf>
    <xf numFmtId="0" fontId="91" fillId="12" borderId="0" xfId="0" applyFont="1" applyFill="1" applyProtection="1">
      <protection hidden="1"/>
    </xf>
    <xf numFmtId="0" fontId="91" fillId="12" borderId="19" xfId="0" applyFont="1" applyFill="1" applyBorder="1" applyProtection="1">
      <protection hidden="1"/>
    </xf>
    <xf numFmtId="0" fontId="91" fillId="12" borderId="14" xfId="0" applyFont="1" applyFill="1" applyBorder="1" applyAlignment="1" applyProtection="1">
      <alignment horizontal="center"/>
      <protection hidden="1"/>
    </xf>
    <xf numFmtId="0" fontId="97" fillId="11" borderId="0" xfId="0" applyFont="1" applyFill="1" applyProtection="1">
      <protection hidden="1"/>
    </xf>
    <xf numFmtId="0" fontId="98" fillId="11" borderId="0" xfId="0" applyFont="1" applyFill="1" applyProtection="1">
      <protection hidden="1"/>
    </xf>
    <xf numFmtId="0" fontId="92" fillId="11" borderId="67" xfId="0" applyFont="1" applyFill="1" applyBorder="1" applyProtection="1">
      <protection hidden="1"/>
    </xf>
    <xf numFmtId="0" fontId="100" fillId="0" borderId="0" xfId="0" applyFont="1"/>
    <xf numFmtId="0" fontId="59" fillId="0" borderId="0" xfId="1" applyBorder="1" applyAlignment="1" applyProtection="1"/>
    <xf numFmtId="0" fontId="107" fillId="6" borderId="0" xfId="1" applyFont="1" applyFill="1" applyAlignment="1" applyProtection="1"/>
    <xf numFmtId="0" fontId="50" fillId="2" borderId="7" xfId="0" applyFont="1" applyFill="1" applyBorder="1" applyProtection="1">
      <protection hidden="1"/>
    </xf>
    <xf numFmtId="0" fontId="50" fillId="2" borderId="8" xfId="0" applyFont="1" applyFill="1" applyBorder="1" applyProtection="1">
      <protection hidden="1"/>
    </xf>
    <xf numFmtId="0" fontId="44" fillId="0" borderId="0" xfId="0" applyFont="1" applyAlignment="1" applyProtection="1">
      <alignment vertical="center"/>
      <protection hidden="1"/>
    </xf>
    <xf numFmtId="0" fontId="0" fillId="0" borderId="3" xfId="0" applyBorder="1"/>
    <xf numFmtId="0" fontId="0" fillId="0" borderId="18" xfId="0" applyBorder="1"/>
    <xf numFmtId="0" fontId="109" fillId="0" borderId="0" xfId="0" applyFont="1"/>
    <xf numFmtId="14" fontId="109" fillId="0" borderId="0" xfId="0" applyNumberFormat="1" applyFont="1"/>
    <xf numFmtId="0" fontId="62" fillId="8" borderId="40" xfId="0" applyFont="1" applyFill="1" applyBorder="1" applyAlignment="1" applyProtection="1">
      <alignment horizontal="center"/>
      <protection hidden="1"/>
    </xf>
    <xf numFmtId="0" fontId="62" fillId="8" borderId="44" xfId="0" applyFont="1" applyFill="1" applyBorder="1" applyAlignment="1" applyProtection="1">
      <alignment horizontal="center"/>
      <protection hidden="1"/>
    </xf>
    <xf numFmtId="0" fontId="57" fillId="2" borderId="6" xfId="0" applyFont="1" applyFill="1" applyBorder="1" applyProtection="1">
      <protection hidden="1"/>
    </xf>
    <xf numFmtId="0" fontId="0" fillId="0" borderId="14" xfId="0" applyBorder="1"/>
    <xf numFmtId="0" fontId="51" fillId="0" borderId="1" xfId="0" applyFont="1" applyBorder="1"/>
    <xf numFmtId="0" fontId="0" fillId="0" borderId="12" xfId="0" applyBorder="1"/>
    <xf numFmtId="0" fontId="0" fillId="0" borderId="20" xfId="0" applyBorder="1"/>
    <xf numFmtId="0" fontId="0" fillId="0" borderId="13" xfId="0" applyBorder="1"/>
    <xf numFmtId="179" fontId="0" fillId="16" borderId="12" xfId="0" applyNumberFormat="1" applyFill="1" applyBorder="1"/>
    <xf numFmtId="179" fontId="0" fillId="16" borderId="15" xfId="0" applyNumberFormat="1" applyFill="1" applyBorder="1"/>
    <xf numFmtId="179" fontId="0" fillId="16" borderId="8" xfId="0" applyNumberFormat="1" applyFill="1" applyBorder="1"/>
    <xf numFmtId="179" fontId="0" fillId="16" borderId="14" xfId="0" applyNumberFormat="1" applyFill="1" applyBorder="1"/>
    <xf numFmtId="0" fontId="0" fillId="0" borderId="6" xfId="0" applyBorder="1"/>
    <xf numFmtId="0" fontId="0" fillId="0" borderId="8" xfId="0" applyBorder="1"/>
    <xf numFmtId="14" fontId="100" fillId="0" borderId="0" xfId="0" applyNumberFormat="1" applyFont="1"/>
    <xf numFmtId="0" fontId="0" fillId="16" borderId="14" xfId="0" applyFill="1" applyBorder="1"/>
    <xf numFmtId="0" fontId="0" fillId="16" borderId="14" xfId="0" applyFill="1" applyBorder="1" applyAlignment="1">
      <alignment wrapText="1"/>
    </xf>
    <xf numFmtId="0" fontId="0" fillId="7" borderId="14" xfId="0" applyFill="1" applyBorder="1"/>
    <xf numFmtId="1" fontId="0" fillId="0" borderId="14" xfId="0" applyNumberFormat="1" applyBorder="1"/>
    <xf numFmtId="2" fontId="0" fillId="0" borderId="14" xfId="0" applyNumberFormat="1" applyBorder="1"/>
    <xf numFmtId="10" fontId="0" fillId="0" borderId="14" xfId="3" applyNumberFormat="1" applyFont="1" applyBorder="1"/>
    <xf numFmtId="0" fontId="0" fillId="7" borderId="35" xfId="0" applyFill="1" applyBorder="1"/>
    <xf numFmtId="1" fontId="0" fillId="0" borderId="35" xfId="0" applyNumberFormat="1" applyBorder="1"/>
    <xf numFmtId="2" fontId="0" fillId="0" borderId="35" xfId="0" applyNumberFormat="1" applyBorder="1"/>
    <xf numFmtId="0" fontId="0" fillId="0" borderId="35" xfId="0" applyBorder="1"/>
    <xf numFmtId="10" fontId="0" fillId="0" borderId="35" xfId="3" applyNumberFormat="1" applyFont="1" applyBorder="1"/>
    <xf numFmtId="0" fontId="0" fillId="7" borderId="21" xfId="0" applyFill="1" applyBorder="1" applyAlignment="1">
      <alignment wrapText="1"/>
    </xf>
    <xf numFmtId="1" fontId="0" fillId="0" borderId="21" xfId="0" applyNumberFormat="1" applyBorder="1"/>
    <xf numFmtId="0" fontId="0" fillId="0" borderId="21" xfId="0" applyBorder="1"/>
    <xf numFmtId="9" fontId="0" fillId="0" borderId="21" xfId="0" applyNumberFormat="1" applyBorder="1"/>
    <xf numFmtId="0" fontId="114" fillId="0" borderId="21" xfId="0" applyFont="1" applyBorder="1"/>
    <xf numFmtId="0" fontId="114" fillId="0" borderId="18" xfId="0" applyFont="1" applyBorder="1"/>
    <xf numFmtId="0" fontId="114" fillId="0" borderId="13" xfId="0" applyFont="1" applyBorder="1"/>
    <xf numFmtId="0" fontId="0" fillId="0" borderId="75" xfId="0" applyBorder="1"/>
    <xf numFmtId="0" fontId="0" fillId="0" borderId="73" xfId="0" applyBorder="1"/>
    <xf numFmtId="179" fontId="0" fillId="0" borderId="14" xfId="0" applyNumberFormat="1" applyBorder="1"/>
    <xf numFmtId="0" fontId="0" fillId="7" borderId="73" xfId="0" applyFill="1" applyBorder="1" applyAlignment="1">
      <alignment wrapText="1"/>
    </xf>
    <xf numFmtId="44" fontId="0" fillId="17" borderId="18" xfId="2" applyFont="1" applyFill="1" applyBorder="1" applyProtection="1">
      <protection locked="0"/>
    </xf>
    <xf numFmtId="177" fontId="0" fillId="6" borderId="12" xfId="0" applyNumberFormat="1" applyFill="1" applyBorder="1" applyAlignment="1">
      <alignment horizontal="center"/>
    </xf>
    <xf numFmtId="177" fontId="0" fillId="16" borderId="24" xfId="0" applyNumberFormat="1" applyFill="1" applyBorder="1" applyAlignment="1">
      <alignment horizontal="center"/>
    </xf>
    <xf numFmtId="0" fontId="0" fillId="6" borderId="32" xfId="0" applyFill="1" applyBorder="1"/>
    <xf numFmtId="0" fontId="0" fillId="6" borderId="32" xfId="0" applyFill="1" applyBorder="1" applyAlignment="1">
      <alignment wrapText="1"/>
    </xf>
    <xf numFmtId="44" fontId="0" fillId="6" borderId="14" xfId="2" applyFont="1" applyFill="1" applyBorder="1" applyProtection="1"/>
    <xf numFmtId="44" fontId="0" fillId="18" borderId="14" xfId="2" applyFont="1" applyFill="1" applyBorder="1" applyProtection="1"/>
    <xf numFmtId="173" fontId="0" fillId="6" borderId="14" xfId="0" applyNumberFormat="1" applyFill="1" applyBorder="1" applyAlignment="1">
      <alignment horizontal="center"/>
    </xf>
    <xf numFmtId="177" fontId="0" fillId="7" borderId="12" xfId="0" applyNumberFormat="1" applyFill="1" applyBorder="1" applyAlignment="1">
      <alignment horizontal="center"/>
    </xf>
    <xf numFmtId="44" fontId="0" fillId="18" borderId="2" xfId="2" applyFont="1" applyFill="1" applyBorder="1" applyProtection="1"/>
    <xf numFmtId="44" fontId="0" fillId="18" borderId="12" xfId="2" applyFont="1" applyFill="1" applyBorder="1" applyProtection="1"/>
    <xf numFmtId="44" fontId="51" fillId="16" borderId="34" xfId="2" applyFont="1" applyFill="1" applyBorder="1" applyAlignment="1" applyProtection="1">
      <alignment horizontal="center"/>
    </xf>
    <xf numFmtId="44" fontId="51" fillId="16" borderId="35" xfId="2" applyFont="1" applyFill="1" applyBorder="1" applyAlignment="1" applyProtection="1">
      <alignment horizontal="center"/>
    </xf>
    <xf numFmtId="44" fontId="51" fillId="16" borderId="36" xfId="2" applyFont="1" applyFill="1" applyBorder="1" applyAlignment="1" applyProtection="1">
      <alignment horizontal="center"/>
    </xf>
    <xf numFmtId="0" fontId="51" fillId="6" borderId="0" xfId="0" applyFont="1" applyFill="1" applyAlignment="1">
      <alignment horizontal="center"/>
    </xf>
    <xf numFmtId="0" fontId="0" fillId="6" borderId="14" xfId="0" applyFill="1" applyBorder="1"/>
    <xf numFmtId="0" fontId="0" fillId="6" borderId="14" xfId="0" applyFill="1" applyBorder="1" applyAlignment="1">
      <alignment wrapText="1"/>
    </xf>
    <xf numFmtId="0" fontId="48" fillId="2" borderId="14" xfId="0" applyFont="1" applyFill="1" applyBorder="1"/>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48" fillId="19" borderId="22" xfId="0" applyFont="1" applyFill="1" applyBorder="1"/>
    <xf numFmtId="0" fontId="48" fillId="2" borderId="32" xfId="0" applyFont="1" applyFill="1" applyBorder="1"/>
    <xf numFmtId="0" fontId="0" fillId="16" borderId="32" xfId="0" applyFill="1" applyBorder="1"/>
    <xf numFmtId="0" fontId="0" fillId="16" borderId="12" xfId="0" applyFill="1" applyBorder="1"/>
    <xf numFmtId="0" fontId="0" fillId="2" borderId="20" xfId="0" applyFill="1" applyBorder="1"/>
    <xf numFmtId="0" fontId="0" fillId="16" borderId="2" xfId="0" applyFill="1" applyBorder="1"/>
    <xf numFmtId="0" fontId="0" fillId="2" borderId="14" xfId="0" applyFill="1" applyBorder="1"/>
    <xf numFmtId="0" fontId="0" fillId="2" borderId="12" xfId="0" applyFill="1" applyBorder="1"/>
    <xf numFmtId="0" fontId="43" fillId="0" borderId="7" xfId="0" applyFont="1" applyBorder="1"/>
    <xf numFmtId="0" fontId="43" fillId="0" borderId="0" xfId="0" applyFont="1"/>
    <xf numFmtId="0" fontId="43" fillId="0" borderId="4" xfId="0" applyFont="1" applyBorder="1"/>
    <xf numFmtId="0" fontId="50" fillId="2" borderId="12" xfId="0" applyFont="1" applyFill="1" applyBorder="1"/>
    <xf numFmtId="0" fontId="51" fillId="0" borderId="0" xfId="0" applyFont="1"/>
    <xf numFmtId="0" fontId="48" fillId="0" borderId="1" xfId="0" applyFont="1" applyBorder="1"/>
    <xf numFmtId="0" fontId="0" fillId="0" borderId="0" xfId="0" applyAlignment="1">
      <alignment horizontal="center"/>
    </xf>
    <xf numFmtId="14" fontId="0" fillId="0" borderId="0" xfId="0" applyNumberFormat="1"/>
    <xf numFmtId="14" fontId="0" fillId="16" borderId="14" xfId="0" applyNumberFormat="1" applyFill="1" applyBorder="1" applyAlignment="1">
      <alignment horizontal="center"/>
    </xf>
    <xf numFmtId="177" fontId="0" fillId="0" borderId="0" xfId="0" applyNumberFormat="1"/>
    <xf numFmtId="0" fontId="88" fillId="0" borderId="0" xfId="0" applyFont="1"/>
    <xf numFmtId="168" fontId="75" fillId="6" borderId="0" xfId="0" applyNumberFormat="1" applyFont="1" applyFill="1"/>
    <xf numFmtId="168" fontId="0" fillId="6" borderId="0" xfId="0" applyNumberFormat="1" applyFill="1"/>
    <xf numFmtId="0" fontId="48" fillId="2" borderId="1" xfId="0" applyFont="1" applyFill="1" applyBorder="1"/>
    <xf numFmtId="0" fontId="0" fillId="2" borderId="2" xfId="0" applyFill="1" applyBorder="1"/>
    <xf numFmtId="178" fontId="0" fillId="0" borderId="18" xfId="0" applyNumberFormat="1" applyBorder="1" applyAlignment="1">
      <alignment horizontal="right"/>
    </xf>
    <xf numFmtId="0" fontId="0" fillId="0" borderId="18" xfId="0" applyBorder="1" applyAlignment="1">
      <alignment horizontal="right"/>
    </xf>
    <xf numFmtId="0" fontId="0" fillId="0" borderId="0" xfId="0" applyAlignment="1">
      <alignment horizontal="right"/>
    </xf>
    <xf numFmtId="0" fontId="0" fillId="2" borderId="13" xfId="0" applyFill="1" applyBorder="1"/>
    <xf numFmtId="178" fontId="0" fillId="0" borderId="12" xfId="0" applyNumberFormat="1" applyBorder="1" applyAlignment="1">
      <alignment horizontal="right"/>
    </xf>
    <xf numFmtId="0" fontId="0" fillId="0" borderId="12" xfId="0" applyBorder="1" applyAlignment="1">
      <alignment horizontal="right"/>
    </xf>
    <xf numFmtId="0" fontId="0" fillId="0" borderId="4" xfId="0" applyBorder="1" applyAlignment="1">
      <alignment horizontal="right"/>
    </xf>
    <xf numFmtId="0" fontId="42" fillId="0" borderId="0" xfId="0" applyFont="1"/>
    <xf numFmtId="0" fontId="0" fillId="6" borderId="0" xfId="0" applyFill="1"/>
    <xf numFmtId="0" fontId="0" fillId="6" borderId="5" xfId="0" applyFill="1" applyBorder="1"/>
    <xf numFmtId="0" fontId="75" fillId="0" borderId="7" xfId="0" applyFont="1" applyBorder="1"/>
    <xf numFmtId="0" fontId="42" fillId="6" borderId="0" xfId="0" applyFont="1" applyFill="1"/>
    <xf numFmtId="0" fontId="0" fillId="2" borderId="59" xfId="0" applyFill="1" applyBorder="1"/>
    <xf numFmtId="0" fontId="51" fillId="0" borderId="32" xfId="0" applyFont="1" applyBorder="1" applyAlignment="1">
      <alignment horizontal="center"/>
    </xf>
    <xf numFmtId="44" fontId="51" fillId="6" borderId="0" xfId="2" applyFont="1" applyFill="1" applyBorder="1" applyAlignment="1" applyProtection="1">
      <alignment horizontal="center"/>
    </xf>
    <xf numFmtId="0" fontId="51" fillId="0" borderId="14" xfId="0" applyFont="1" applyBorder="1" applyAlignment="1">
      <alignment horizontal="center"/>
    </xf>
    <xf numFmtId="0" fontId="51" fillId="0" borderId="33" xfId="0" applyFont="1" applyBorder="1" applyAlignment="1">
      <alignment horizontal="center"/>
    </xf>
    <xf numFmtId="0" fontId="49" fillId="0" borderId="0" xfId="0" applyFont="1"/>
    <xf numFmtId="0" fontId="48" fillId="2" borderId="70" xfId="0" applyFont="1" applyFill="1" applyBorder="1"/>
    <xf numFmtId="0" fontId="0" fillId="2" borderId="64" xfId="0" applyFill="1" applyBorder="1"/>
    <xf numFmtId="0" fontId="0" fillId="2" borderId="65" xfId="0" applyFill="1" applyBorder="1"/>
    <xf numFmtId="0" fontId="48" fillId="2" borderId="12" xfId="0" applyFont="1" applyFill="1" applyBorder="1"/>
    <xf numFmtId="0" fontId="0" fillId="2" borderId="18" xfId="0" applyFill="1" applyBorder="1"/>
    <xf numFmtId="0" fontId="0" fillId="0" borderId="19" xfId="0" applyBorder="1" applyAlignment="1">
      <alignment horizontal="right"/>
    </xf>
    <xf numFmtId="0" fontId="0" fillId="0" borderId="14" xfId="0" applyBorder="1" applyAlignment="1">
      <alignment horizontal="right"/>
    </xf>
    <xf numFmtId="0" fontId="0" fillId="6" borderId="19" xfId="0" applyFill="1" applyBorder="1" applyAlignment="1">
      <alignment horizontal="right"/>
    </xf>
    <xf numFmtId="0" fontId="0" fillId="2" borderId="43" xfId="0" applyFill="1" applyBorder="1"/>
    <xf numFmtId="0" fontId="51" fillId="19" borderId="33" xfId="0" applyFont="1" applyFill="1" applyBorder="1" applyAlignment="1">
      <alignment horizontal="center"/>
    </xf>
    <xf numFmtId="0" fontId="0" fillId="16" borderId="13" xfId="0" applyFill="1" applyBorder="1"/>
    <xf numFmtId="0" fontId="0" fillId="7" borderId="4" xfId="0" applyFill="1" applyBorder="1"/>
    <xf numFmtId="168" fontId="0" fillId="7" borderId="4" xfId="0" applyNumberFormat="1" applyFill="1" applyBorder="1"/>
    <xf numFmtId="44" fontId="51" fillId="6" borderId="58" xfId="2" applyFont="1" applyFill="1" applyBorder="1" applyAlignment="1" applyProtection="1">
      <alignment horizontal="center"/>
    </xf>
    <xf numFmtId="0" fontId="0" fillId="6" borderId="7" xfId="0" applyFill="1" applyBorder="1"/>
    <xf numFmtId="0" fontId="47" fillId="6" borderId="0" xfId="0" applyFont="1" applyFill="1"/>
    <xf numFmtId="0" fontId="75" fillId="0" borderId="0" xfId="0" applyFont="1"/>
    <xf numFmtId="0" fontId="57" fillId="6" borderId="0" xfId="0" applyFont="1" applyFill="1"/>
    <xf numFmtId="0" fontId="46" fillId="6" borderId="0" xfId="0" applyFont="1" applyFill="1"/>
    <xf numFmtId="0" fontId="60" fillId="6" borderId="0" xfId="0" applyFont="1" applyFill="1"/>
    <xf numFmtId="0" fontId="46" fillId="6" borderId="4" xfId="0" applyFont="1" applyFill="1" applyBorder="1"/>
    <xf numFmtId="0" fontId="46" fillId="6" borderId="5" xfId="0" applyFont="1" applyFill="1" applyBorder="1"/>
    <xf numFmtId="0" fontId="0" fillId="6" borderId="4" xfId="0" applyFill="1" applyBorder="1"/>
    <xf numFmtId="0" fontId="71" fillId="0" borderId="0" xfId="0" applyFont="1" applyAlignment="1">
      <alignment horizontal="left"/>
    </xf>
    <xf numFmtId="0" fontId="46" fillId="6" borderId="0" xfId="0" applyFont="1" applyFill="1" applyAlignment="1">
      <alignment horizontal="left"/>
    </xf>
    <xf numFmtId="0" fontId="57" fillId="6" borderId="4" xfId="0" applyFont="1" applyFill="1" applyBorder="1"/>
    <xf numFmtId="0" fontId="50" fillId="6" borderId="0" xfId="0" applyFont="1" applyFill="1"/>
    <xf numFmtId="0" fontId="52" fillId="6" borderId="4" xfId="0" applyFont="1" applyFill="1" applyBorder="1"/>
    <xf numFmtId="0" fontId="83" fillId="6" borderId="0" xfId="0" applyFont="1" applyFill="1"/>
    <xf numFmtId="0" fontId="52" fillId="6" borderId="1" xfId="0" applyFont="1" applyFill="1" applyBorder="1"/>
    <xf numFmtId="0" fontId="46" fillId="6" borderId="2" xfId="0" applyFont="1" applyFill="1" applyBorder="1"/>
    <xf numFmtId="0" fontId="46" fillId="6" borderId="3" xfId="0" applyFont="1" applyFill="1" applyBorder="1"/>
    <xf numFmtId="0" fontId="0" fillId="6" borderId="6" xfId="0" applyFill="1" applyBorder="1"/>
    <xf numFmtId="0" fontId="46" fillId="6" borderId="7" xfId="0" applyFont="1" applyFill="1" applyBorder="1"/>
    <xf numFmtId="0" fontId="46" fillId="6" borderId="8" xfId="0" applyFont="1" applyFill="1" applyBorder="1"/>
    <xf numFmtId="0" fontId="57" fillId="6" borderId="5" xfId="0" applyFont="1" applyFill="1" applyBorder="1"/>
    <xf numFmtId="0" fontId="49" fillId="6" borderId="4" xfId="0" applyFont="1" applyFill="1" applyBorder="1"/>
    <xf numFmtId="0" fontId="84" fillId="6" borderId="5" xfId="0" applyFont="1" applyFill="1" applyBorder="1"/>
    <xf numFmtId="0" fontId="46" fillId="6" borderId="6" xfId="0" applyFont="1" applyFill="1" applyBorder="1"/>
    <xf numFmtId="177" fontId="0" fillId="6" borderId="33" xfId="0" applyNumberFormat="1" applyFill="1" applyBorder="1" applyAlignment="1">
      <alignment horizontal="center"/>
    </xf>
    <xf numFmtId="10" fontId="0" fillId="0" borderId="0" xfId="0" applyNumberFormat="1" applyAlignment="1">
      <alignment horizontal="center"/>
    </xf>
    <xf numFmtId="0" fontId="0" fillId="20" borderId="14" xfId="0" applyFill="1" applyBorder="1"/>
    <xf numFmtId="173" fontId="0" fillId="20" borderId="14" xfId="0" applyNumberFormat="1" applyFill="1" applyBorder="1" applyAlignment="1">
      <alignment horizontal="center"/>
    </xf>
    <xf numFmtId="177" fontId="0" fillId="20" borderId="12" xfId="0" applyNumberFormat="1" applyFill="1" applyBorder="1" applyAlignment="1">
      <alignment horizontal="center"/>
    </xf>
    <xf numFmtId="0" fontId="0" fillId="20" borderId="74" xfId="0" applyFill="1" applyBorder="1"/>
    <xf numFmtId="0" fontId="0" fillId="20" borderId="21" xfId="0" applyFill="1" applyBorder="1"/>
    <xf numFmtId="0" fontId="53" fillId="0" borderId="0" xfId="0" applyFont="1" applyAlignment="1">
      <alignment horizontal="left"/>
    </xf>
    <xf numFmtId="0" fontId="53" fillId="0" borderId="0" xfId="0" applyFont="1"/>
    <xf numFmtId="0" fontId="0" fillId="3" borderId="0" xfId="0" applyFill="1"/>
    <xf numFmtId="0" fontId="57" fillId="0" borderId="4" xfId="0" applyFont="1" applyBorder="1"/>
    <xf numFmtId="0" fontId="52" fillId="0" borderId="0" xfId="0" applyFont="1"/>
    <xf numFmtId="2" fontId="57" fillId="0" borderId="0" xfId="0" applyNumberFormat="1" applyFont="1" applyAlignment="1">
      <alignment horizontal="right"/>
    </xf>
    <xf numFmtId="2" fontId="57" fillId="0" borderId="0" xfId="0" applyNumberFormat="1" applyFont="1" applyAlignment="1">
      <alignment horizontal="center"/>
    </xf>
    <xf numFmtId="0" fontId="45" fillId="0" borderId="4" xfId="0" applyFont="1" applyBorder="1"/>
    <xf numFmtId="0" fontId="45" fillId="0" borderId="0" xfId="0" applyFont="1"/>
    <xf numFmtId="14" fontId="45" fillId="0" borderId="0" xfId="0" applyNumberFormat="1" applyFont="1" applyAlignment="1">
      <alignment horizontal="right"/>
    </xf>
    <xf numFmtId="14" fontId="45" fillId="0" borderId="0" xfId="0" applyNumberFormat="1" applyFont="1" applyAlignment="1">
      <alignment horizontal="center" vertical="top"/>
    </xf>
    <xf numFmtId="14" fontId="45" fillId="0" borderId="0" xfId="0" applyNumberFormat="1" applyFont="1" applyAlignment="1">
      <alignment horizontal="right" vertical="top"/>
    </xf>
    <xf numFmtId="0" fontId="45" fillId="0" borderId="5" xfId="0" applyFont="1" applyBorder="1"/>
    <xf numFmtId="0" fontId="52" fillId="2" borderId="0" xfId="0" applyFont="1" applyFill="1"/>
    <xf numFmtId="0" fontId="0" fillId="2" borderId="0" xfId="0" applyFill="1"/>
    <xf numFmtId="0" fontId="58" fillId="0" borderId="2" xfId="0" applyFont="1" applyBorder="1" applyAlignment="1">
      <alignment vertical="top"/>
    </xf>
    <xf numFmtId="0" fontId="51" fillId="0" borderId="2" xfId="0" applyFont="1" applyBorder="1"/>
    <xf numFmtId="0" fontId="58" fillId="0" borderId="2" xfId="0" applyFont="1" applyBorder="1" applyAlignment="1">
      <alignment horizontal="center" vertical="top"/>
    </xf>
    <xf numFmtId="0" fontId="45" fillId="0" borderId="16" xfId="0" applyFont="1" applyBorder="1"/>
    <xf numFmtId="0" fontId="45" fillId="0" borderId="17" xfId="0" applyFont="1" applyBorder="1"/>
    <xf numFmtId="0" fontId="75" fillId="0" borderId="0" xfId="0" applyFont="1" applyAlignment="1">
      <alignment vertical="top" wrapText="1"/>
    </xf>
    <xf numFmtId="0" fontId="75" fillId="0" borderId="5" xfId="0" applyFont="1" applyBorder="1" applyAlignment="1">
      <alignment vertical="top" wrapText="1"/>
    </xf>
    <xf numFmtId="0" fontId="45" fillId="0" borderId="7" xfId="0" applyFont="1" applyBorder="1"/>
    <xf numFmtId="0" fontId="75" fillId="0" borderId="7" xfId="0" applyFont="1" applyBorder="1" applyAlignment="1">
      <alignment vertical="top" wrapText="1"/>
    </xf>
    <xf numFmtId="0" fontId="56" fillId="6" borderId="7" xfId="0" applyFont="1" applyFill="1" applyBorder="1"/>
    <xf numFmtId="0" fontId="45" fillId="0" borderId="8" xfId="0" applyFont="1" applyBorder="1"/>
    <xf numFmtId="0" fontId="0" fillId="6" borderId="43" xfId="0" applyFill="1" applyBorder="1"/>
    <xf numFmtId="0" fontId="0" fillId="6" borderId="78" xfId="0" applyFill="1" applyBorder="1" applyAlignment="1">
      <alignment horizontal="center"/>
    </xf>
    <xf numFmtId="0" fontId="0" fillId="0" borderId="32" xfId="0" applyBorder="1" applyAlignment="1">
      <alignment horizontal="center"/>
    </xf>
    <xf numFmtId="0" fontId="0" fillId="0" borderId="14" xfId="0" applyBorder="1" applyAlignment="1">
      <alignment horizontal="center" wrapText="1"/>
    </xf>
    <xf numFmtId="0" fontId="0" fillId="0" borderId="14" xfId="0" applyBorder="1" applyAlignment="1">
      <alignment horizontal="center"/>
    </xf>
    <xf numFmtId="0" fontId="0" fillId="0" borderId="33" xfId="0" applyBorder="1" applyAlignment="1">
      <alignment horizontal="center" wrapText="1"/>
    </xf>
    <xf numFmtId="0" fontId="0" fillId="0" borderId="12" xfId="0" applyBorder="1" applyAlignment="1">
      <alignment horizontal="center" wrapText="1"/>
    </xf>
    <xf numFmtId="0" fontId="0" fillId="0" borderId="79" xfId="0" applyBorder="1" applyAlignment="1">
      <alignment horizontal="center" vertical="center"/>
    </xf>
    <xf numFmtId="1" fontId="0" fillId="21" borderId="32" xfId="0" applyNumberFormat="1" applyFill="1" applyBorder="1" applyAlignment="1">
      <alignment horizontal="center"/>
    </xf>
    <xf numFmtId="173" fontId="0" fillId="21" borderId="14" xfId="0" applyNumberFormat="1" applyFill="1" applyBorder="1" applyAlignment="1">
      <alignment horizontal="center"/>
    </xf>
    <xf numFmtId="179" fontId="0" fillId="7" borderId="14" xfId="0" applyNumberFormat="1" applyFill="1" applyBorder="1" applyAlignment="1">
      <alignment horizontal="center"/>
    </xf>
    <xf numFmtId="10" fontId="0" fillId="7" borderId="33" xfId="3" applyNumberFormat="1" applyFont="1" applyFill="1" applyBorder="1" applyAlignment="1">
      <alignment horizontal="center"/>
    </xf>
    <xf numFmtId="179" fontId="0" fillId="7" borderId="32" xfId="0" applyNumberFormat="1" applyFill="1" applyBorder="1" applyAlignment="1">
      <alignment horizontal="center"/>
    </xf>
    <xf numFmtId="173" fontId="0" fillId="21" borderId="12" xfId="0" applyNumberFormat="1" applyFill="1" applyBorder="1" applyAlignment="1">
      <alignment horizontal="center"/>
    </xf>
    <xf numFmtId="179" fontId="117" fillId="7" borderId="79" xfId="0" applyNumberFormat="1" applyFont="1" applyFill="1" applyBorder="1" applyAlignment="1">
      <alignment horizontal="center"/>
    </xf>
    <xf numFmtId="1" fontId="0" fillId="21" borderId="80" xfId="0" applyNumberFormat="1" applyFill="1" applyBorder="1" applyAlignment="1">
      <alignment horizontal="center"/>
    </xf>
    <xf numFmtId="179" fontId="0" fillId="7" borderId="20" xfId="0" applyNumberFormat="1" applyFill="1" applyBorder="1" applyAlignment="1">
      <alignment horizontal="center"/>
    </xf>
    <xf numFmtId="0" fontId="0" fillId="0" borderId="81" xfId="0" applyBorder="1" applyAlignment="1">
      <alignment horizontal="center" vertical="center"/>
    </xf>
    <xf numFmtId="1" fontId="0" fillId="6" borderId="82" xfId="0" applyNumberFormat="1" applyFill="1" applyBorder="1"/>
    <xf numFmtId="173" fontId="0" fillId="6" borderId="75" xfId="0" applyNumberFormat="1" applyFill="1" applyBorder="1" applyAlignment="1">
      <alignment horizontal="center"/>
    </xf>
    <xf numFmtId="179" fontId="0" fillId="18" borderId="73" xfId="0" applyNumberFormat="1" applyFill="1" applyBorder="1" applyAlignment="1">
      <alignment horizontal="center"/>
    </xf>
    <xf numFmtId="10" fontId="0" fillId="18" borderId="83" xfId="3" applyNumberFormat="1" applyFont="1" applyFill="1" applyBorder="1" applyAlignment="1">
      <alignment horizontal="center"/>
    </xf>
    <xf numFmtId="179" fontId="0" fillId="6" borderId="31" xfId="0" applyNumberFormat="1" applyFill="1" applyBorder="1" applyAlignment="1">
      <alignment horizontal="center"/>
    </xf>
    <xf numFmtId="0" fontId="117" fillId="6" borderId="84" xfId="0" applyFont="1" applyFill="1" applyBorder="1"/>
    <xf numFmtId="0" fontId="0" fillId="0" borderId="7" xfId="0" applyBorder="1" applyAlignment="1">
      <alignment vertical="center" wrapText="1"/>
    </xf>
    <xf numFmtId="179" fontId="0" fillId="21" borderId="21" xfId="0" applyNumberFormat="1" applyFill="1" applyBorder="1" applyAlignment="1">
      <alignment horizontal="center"/>
    </xf>
    <xf numFmtId="0" fontId="0" fillId="6" borderId="31" xfId="0" applyFill="1" applyBorder="1"/>
    <xf numFmtId="0" fontId="0" fillId="16" borderId="24" xfId="0" applyFill="1" applyBorder="1" applyAlignment="1">
      <alignment horizontal="center" vertical="center"/>
    </xf>
    <xf numFmtId="1" fontId="0" fillId="16" borderId="87" xfId="0" applyNumberFormat="1" applyFill="1" applyBorder="1" applyAlignment="1">
      <alignment horizontal="center"/>
    </xf>
    <xf numFmtId="0" fontId="0" fillId="6" borderId="88" xfId="0" applyFill="1" applyBorder="1"/>
    <xf numFmtId="179" fontId="0" fillId="16" borderId="73" xfId="0" applyNumberFormat="1" applyFill="1" applyBorder="1" applyAlignment="1">
      <alignment horizontal="center"/>
    </xf>
    <xf numFmtId="10" fontId="0" fillId="6" borderId="24" xfId="3" applyNumberFormat="1" applyFont="1" applyFill="1" applyBorder="1" applyAlignment="1">
      <alignment horizontal="center"/>
    </xf>
    <xf numFmtId="179" fontId="0" fillId="16" borderId="87" xfId="0" applyNumberFormat="1" applyFill="1" applyBorder="1" applyAlignment="1">
      <alignment horizontal="center"/>
    </xf>
    <xf numFmtId="179" fontId="117" fillId="16" borderId="89" xfId="0" applyNumberFormat="1" applyFont="1" applyFill="1" applyBorder="1" applyAlignment="1">
      <alignment horizontal="center"/>
    </xf>
    <xf numFmtId="0" fontId="0" fillId="7" borderId="0" xfId="0" applyFill="1" applyAlignment="1">
      <alignment wrapText="1"/>
    </xf>
    <xf numFmtId="0" fontId="39" fillId="2" borderId="14" xfId="0" applyFont="1" applyFill="1" applyBorder="1" applyAlignment="1">
      <alignment horizontal="center" vertical="center" wrapText="1"/>
    </xf>
    <xf numFmtId="0" fontId="39" fillId="6" borderId="0" xfId="0" applyFont="1" applyFill="1" applyAlignment="1">
      <alignment horizontal="center" vertical="center" wrapText="1"/>
    </xf>
    <xf numFmtId="173" fontId="0" fillId="6" borderId="0" xfId="0" applyNumberFormat="1" applyFill="1" applyAlignment="1">
      <alignment horizontal="center"/>
    </xf>
    <xf numFmtId="0" fontId="38" fillId="0" borderId="0" xfId="0" applyFont="1"/>
    <xf numFmtId="0" fontId="45" fillId="0" borderId="0" xfId="0" applyFont="1" applyAlignment="1">
      <alignment horizontal="center"/>
    </xf>
    <xf numFmtId="14" fontId="45" fillId="6" borderId="0" xfId="0" applyNumberFormat="1" applyFont="1" applyFill="1" applyAlignment="1">
      <alignment horizontal="center" vertical="top"/>
    </xf>
    <xf numFmtId="14" fontId="45" fillId="6" borderId="0" xfId="0" applyNumberFormat="1" applyFont="1" applyFill="1" applyAlignment="1">
      <alignment horizontal="right" vertical="top"/>
    </xf>
    <xf numFmtId="0" fontId="0" fillId="6" borderId="0" xfId="0" applyFill="1" applyAlignment="1">
      <alignment wrapText="1"/>
    </xf>
    <xf numFmtId="0" fontId="0" fillId="6" borderId="0" xfId="0" applyFill="1" applyAlignment="1">
      <alignment wrapText="1" shrinkToFit="1"/>
    </xf>
    <xf numFmtId="0" fontId="118" fillId="6" borderId="0" xfId="0" applyFont="1" applyFill="1" applyAlignment="1">
      <alignment wrapText="1"/>
    </xf>
    <xf numFmtId="0" fontId="49" fillId="0" borderId="0" xfId="0" applyFont="1" applyAlignment="1">
      <alignment wrapText="1"/>
    </xf>
    <xf numFmtId="0" fontId="52" fillId="2" borderId="7" xfId="0" applyFont="1" applyFill="1" applyBorder="1" applyProtection="1">
      <protection hidden="1"/>
    </xf>
    <xf numFmtId="173" fontId="0" fillId="18" borderId="14" xfId="0" applyNumberFormat="1" applyFill="1" applyBorder="1" applyAlignment="1">
      <alignment horizontal="center"/>
    </xf>
    <xf numFmtId="10" fontId="0" fillId="18" borderId="14" xfId="0" applyNumberFormat="1" applyFill="1" applyBorder="1" applyAlignment="1">
      <alignment horizontal="center"/>
    </xf>
    <xf numFmtId="174" fontId="0" fillId="18" borderId="12" xfId="0" applyNumberFormat="1" applyFill="1" applyBorder="1" applyAlignment="1">
      <alignment horizontal="center"/>
    </xf>
    <xf numFmtId="0" fontId="0" fillId="18" borderId="14" xfId="0" applyFill="1" applyBorder="1"/>
    <xf numFmtId="44" fontId="0" fillId="6" borderId="21" xfId="2" applyFont="1" applyFill="1" applyBorder="1" applyProtection="1"/>
    <xf numFmtId="178" fontId="0" fillId="0" borderId="6" xfId="0" applyNumberFormat="1" applyBorder="1" applyAlignment="1">
      <alignment horizontal="right"/>
    </xf>
    <xf numFmtId="10" fontId="47" fillId="6" borderId="4" xfId="0" applyNumberFormat="1" applyFont="1" applyFill="1" applyBorder="1" applyAlignment="1">
      <alignment horizontal="center"/>
    </xf>
    <xf numFmtId="0" fontId="48" fillId="6" borderId="0" xfId="0" applyFont="1" applyFill="1"/>
    <xf numFmtId="0" fontId="0" fillId="6" borderId="1" xfId="0" applyFill="1" applyBorder="1"/>
    <xf numFmtId="0" fontId="0" fillId="6" borderId="0" xfId="0" applyFill="1" applyAlignment="1">
      <alignment vertical="top" wrapText="1"/>
    </xf>
    <xf numFmtId="0" fontId="88" fillId="6" borderId="0" xfId="0" applyFont="1" applyFill="1"/>
    <xf numFmtId="0" fontId="0" fillId="6" borderId="4" xfId="0" applyFill="1" applyBorder="1" applyAlignment="1">
      <alignment vertical="top" wrapText="1"/>
    </xf>
    <xf numFmtId="10" fontId="47" fillId="2" borderId="14" xfId="0" applyNumberFormat="1" applyFont="1" applyFill="1" applyBorder="1" applyAlignment="1">
      <alignment horizontal="center"/>
    </xf>
    <xf numFmtId="175" fontId="0" fillId="18" borderId="14" xfId="0" applyNumberFormat="1" applyFill="1" applyBorder="1" applyAlignment="1">
      <alignment horizontal="center"/>
    </xf>
    <xf numFmtId="177" fontId="0" fillId="18" borderId="24" xfId="0" applyNumberFormat="1" applyFill="1" applyBorder="1" applyAlignment="1">
      <alignment horizontal="center"/>
    </xf>
    <xf numFmtId="177" fontId="0" fillId="18" borderId="12" xfId="0" applyNumberFormat="1" applyFill="1" applyBorder="1" applyAlignment="1">
      <alignment horizontal="center"/>
    </xf>
    <xf numFmtId="175" fontId="0" fillId="23" borderId="14" xfId="0" applyNumberFormat="1" applyFill="1" applyBorder="1" applyAlignment="1">
      <alignment horizontal="center"/>
    </xf>
    <xf numFmtId="14" fontId="57" fillId="18" borderId="15" xfId="0" applyNumberFormat="1" applyFont="1" applyFill="1" applyBorder="1" applyAlignment="1">
      <alignment horizontal="center" vertical="center"/>
    </xf>
    <xf numFmtId="14" fontId="0" fillId="18" borderId="14" xfId="0" applyNumberFormat="1" applyFill="1" applyBorder="1" applyAlignment="1">
      <alignment horizontal="center"/>
    </xf>
    <xf numFmtId="0" fontId="51" fillId="2" borderId="6" xfId="0" applyFont="1" applyFill="1" applyBorder="1"/>
    <xf numFmtId="0" fontId="0" fillId="2" borderId="3" xfId="0" applyFill="1" applyBorder="1"/>
    <xf numFmtId="0" fontId="0" fillId="2" borderId="8" xfId="0" applyFill="1" applyBorder="1"/>
    <xf numFmtId="9" fontId="0" fillId="6" borderId="0" xfId="0" applyNumberFormat="1" applyFill="1"/>
    <xf numFmtId="0" fontId="54" fillId="25" borderId="0" xfId="0" applyFont="1" applyFill="1" applyProtection="1">
      <protection hidden="1"/>
    </xf>
    <xf numFmtId="9" fontId="36" fillId="7" borderId="14" xfId="0" applyNumberFormat="1" applyFont="1" applyFill="1" applyBorder="1"/>
    <xf numFmtId="9" fontId="36" fillId="7" borderId="14" xfId="0" applyNumberFormat="1" applyFont="1" applyFill="1" applyBorder="1" applyAlignment="1">
      <alignment wrapText="1"/>
    </xf>
    <xf numFmtId="10" fontId="0" fillId="17" borderId="14" xfId="0" applyNumberFormat="1" applyFill="1" applyBorder="1"/>
    <xf numFmtId="0" fontId="51" fillId="2" borderId="1" xfId="0" applyFont="1" applyFill="1" applyBorder="1"/>
    <xf numFmtId="0" fontId="36" fillId="2" borderId="2" xfId="0" applyFont="1" applyFill="1" applyBorder="1"/>
    <xf numFmtId="0" fontId="36" fillId="2" borderId="7" xfId="0" applyFont="1" applyFill="1" applyBorder="1"/>
    <xf numFmtId="0" fontId="47" fillId="16" borderId="12" xfId="0" applyFont="1" applyFill="1" applyBorder="1"/>
    <xf numFmtId="0" fontId="56" fillId="25" borderId="4" xfId="0" applyFont="1" applyFill="1" applyBorder="1"/>
    <xf numFmtId="0" fontId="34" fillId="6" borderId="0" xfId="0" applyFont="1" applyFill="1"/>
    <xf numFmtId="0" fontId="45" fillId="3" borderId="7" xfId="0" applyFont="1" applyFill="1" applyBorder="1" applyAlignment="1" applyProtection="1">
      <alignment horizontal="center"/>
      <protection locked="0"/>
    </xf>
    <xf numFmtId="0" fontId="51" fillId="3" borderId="15" xfId="0" applyFont="1" applyFill="1" applyBorder="1" applyAlignment="1" applyProtection="1">
      <alignment horizontal="center"/>
      <protection locked="0"/>
    </xf>
    <xf numFmtId="164" fontId="45" fillId="3" borderId="14" xfId="0" applyNumberFormat="1" applyFont="1" applyFill="1" applyBorder="1" applyAlignment="1" applyProtection="1">
      <alignment horizontal="center"/>
      <protection locked="0"/>
    </xf>
    <xf numFmtId="14" fontId="45" fillId="3" borderId="14" xfId="0" applyNumberFormat="1" applyFont="1" applyFill="1" applyBorder="1" applyAlignment="1" applyProtection="1">
      <alignment horizontal="center"/>
      <protection locked="0"/>
    </xf>
    <xf numFmtId="0" fontId="0" fillId="3" borderId="0" xfId="0" applyFill="1" applyProtection="1">
      <protection locked="0"/>
    </xf>
    <xf numFmtId="14" fontId="45" fillId="6" borderId="0" xfId="0" applyNumberFormat="1" applyFont="1" applyFill="1" applyAlignment="1">
      <alignment horizontal="center" vertical="center"/>
    </xf>
    <xf numFmtId="14" fontId="57" fillId="6" borderId="0" xfId="0" applyNumberFormat="1" applyFont="1" applyFill="1" applyAlignment="1">
      <alignment horizontal="center" vertical="center"/>
    </xf>
    <xf numFmtId="173" fontId="0" fillId="7" borderId="14" xfId="0" applyNumberFormat="1" applyFill="1" applyBorder="1" applyAlignment="1">
      <alignment horizontal="center"/>
    </xf>
    <xf numFmtId="10" fontId="0" fillId="6" borderId="0" xfId="0" applyNumberFormat="1" applyFill="1" applyAlignment="1">
      <alignment horizontal="center"/>
    </xf>
    <xf numFmtId="10" fontId="0" fillId="7" borderId="14" xfId="0" applyNumberFormat="1" applyFill="1" applyBorder="1" applyAlignment="1">
      <alignment horizontal="center"/>
    </xf>
    <xf numFmtId="0" fontId="0" fillId="18" borderId="14" xfId="0" applyFill="1" applyBorder="1" applyAlignment="1">
      <alignment vertical="top" wrapText="1"/>
    </xf>
    <xf numFmtId="167" fontId="0" fillId="17" borderId="14" xfId="0" applyNumberFormat="1" applyFill="1" applyBorder="1" applyProtection="1">
      <protection locked="0"/>
    </xf>
    <xf numFmtId="0" fontId="0" fillId="17" borderId="14" xfId="0" applyFill="1" applyBorder="1" applyProtection="1">
      <protection locked="0"/>
    </xf>
    <xf numFmtId="0" fontId="0" fillId="17" borderId="12" xfId="0" applyFill="1" applyBorder="1" applyProtection="1">
      <protection locked="0"/>
    </xf>
    <xf numFmtId="173" fontId="0" fillId="17" borderId="21" xfId="0" applyNumberFormat="1" applyFill="1" applyBorder="1" applyAlignment="1" applyProtection="1">
      <alignment horizontal="center"/>
      <protection locked="0"/>
    </xf>
    <xf numFmtId="173" fontId="0" fillId="17" borderId="14" xfId="0" applyNumberFormat="1" applyFill="1" applyBorder="1" applyAlignment="1" applyProtection="1">
      <alignment horizontal="center"/>
      <protection locked="0"/>
    </xf>
    <xf numFmtId="10" fontId="0" fillId="17" borderId="14" xfId="0" applyNumberFormat="1" applyFill="1" applyBorder="1" applyAlignment="1" applyProtection="1">
      <alignment horizontal="center"/>
      <protection locked="0"/>
    </xf>
    <xf numFmtId="177" fontId="0" fillId="17" borderId="12" xfId="0" applyNumberFormat="1" applyFill="1" applyBorder="1" applyAlignment="1" applyProtection="1">
      <alignment horizontal="center"/>
      <protection locked="0"/>
    </xf>
    <xf numFmtId="174" fontId="0" fillId="17" borderId="12" xfId="0" applyNumberFormat="1" applyFill="1" applyBorder="1" applyAlignment="1" applyProtection="1">
      <alignment horizontal="center"/>
      <protection locked="0"/>
    </xf>
    <xf numFmtId="175" fontId="0" fillId="17" borderId="12" xfId="0" applyNumberFormat="1" applyFill="1" applyBorder="1" applyProtection="1">
      <protection locked="0"/>
    </xf>
    <xf numFmtId="176" fontId="0" fillId="17" borderId="12" xfId="0" applyNumberFormat="1" applyFill="1" applyBorder="1" applyProtection="1">
      <protection locked="0"/>
    </xf>
    <xf numFmtId="44" fontId="0" fillId="17" borderId="12" xfId="2" applyFont="1" applyFill="1" applyBorder="1" applyProtection="1">
      <protection locked="0"/>
    </xf>
    <xf numFmtId="44" fontId="0" fillId="17" borderId="7" xfId="2" applyFont="1" applyFill="1" applyBorder="1" applyProtection="1">
      <protection locked="0"/>
    </xf>
    <xf numFmtId="0" fontId="36" fillId="6" borderId="0" xfId="0" applyFont="1" applyFill="1"/>
    <xf numFmtId="0" fontId="36" fillId="6" borderId="4" xfId="0" applyFont="1" applyFill="1" applyBorder="1"/>
    <xf numFmtId="0" fontId="36" fillId="6" borderId="2" xfId="0" applyFont="1" applyFill="1" applyBorder="1"/>
    <xf numFmtId="0" fontId="0" fillId="6" borderId="2" xfId="0" applyFill="1" applyBorder="1"/>
    <xf numFmtId="10" fontId="0" fillId="17" borderId="14" xfId="3" applyNumberFormat="1" applyFont="1" applyFill="1" applyBorder="1" applyProtection="1">
      <protection locked="0"/>
    </xf>
    <xf numFmtId="0" fontId="51" fillId="21" borderId="9" xfId="0" applyFont="1" applyFill="1" applyBorder="1"/>
    <xf numFmtId="0" fontId="33" fillId="0" borderId="9" xfId="0" applyFont="1" applyBorder="1"/>
    <xf numFmtId="0" fontId="33" fillId="0" borderId="9" xfId="0" applyFont="1" applyBorder="1" applyAlignment="1">
      <alignment horizontal="center"/>
    </xf>
    <xf numFmtId="0" fontId="51" fillId="26" borderId="15" xfId="0" applyFont="1" applyFill="1" applyBorder="1" applyAlignment="1">
      <alignment horizontal="center"/>
    </xf>
    <xf numFmtId="0" fontId="33" fillId="0" borderId="110" xfId="0" applyFont="1" applyBorder="1"/>
    <xf numFmtId="0" fontId="33" fillId="0" borderId="111" xfId="0" applyFont="1" applyBorder="1"/>
    <xf numFmtId="0" fontId="51" fillId="27" borderId="9" xfId="0" applyFont="1" applyFill="1" applyBorder="1"/>
    <xf numFmtId="0" fontId="51" fillId="0" borderId="31" xfId="0" applyFont="1" applyBorder="1"/>
    <xf numFmtId="0" fontId="33" fillId="0" borderId="31" xfId="0" applyFont="1" applyBorder="1" applyAlignment="1">
      <alignment horizontal="center"/>
    </xf>
    <xf numFmtId="0" fontId="51" fillId="0" borderId="9" xfId="0" applyFont="1" applyBorder="1"/>
    <xf numFmtId="0" fontId="33" fillId="6" borderId="84" xfId="0" applyFont="1" applyFill="1" applyBorder="1" applyAlignment="1">
      <alignment horizontal="center"/>
    </xf>
    <xf numFmtId="0" fontId="0" fillId="6" borderId="112" xfId="0" applyFill="1" applyBorder="1"/>
    <xf numFmtId="0" fontId="33" fillId="0" borderId="11" xfId="0" applyFont="1" applyBorder="1" applyAlignment="1">
      <alignment horizontal="center"/>
    </xf>
    <xf numFmtId="0" fontId="68" fillId="27" borderId="60" xfId="0" applyFont="1" applyFill="1" applyBorder="1" applyAlignment="1">
      <alignment horizontal="center"/>
    </xf>
    <xf numFmtId="2" fontId="68" fillId="27" borderId="9" xfId="0" applyNumberFormat="1" applyFont="1" applyFill="1" applyBorder="1" applyAlignment="1">
      <alignment horizontal="center"/>
    </xf>
    <xf numFmtId="0" fontId="33" fillId="6" borderId="43" xfId="0" applyFont="1" applyFill="1" applyBorder="1" applyAlignment="1">
      <alignment horizontal="center"/>
    </xf>
    <xf numFmtId="181" fontId="33" fillId="0" borderId="114" xfId="3" applyNumberFormat="1" applyFont="1" applyBorder="1" applyAlignment="1">
      <alignment horizontal="center" wrapText="1"/>
    </xf>
    <xf numFmtId="181" fontId="33" fillId="0" borderId="113" xfId="3" applyNumberFormat="1" applyFont="1" applyBorder="1" applyAlignment="1">
      <alignment horizontal="center"/>
    </xf>
    <xf numFmtId="181" fontId="51" fillId="18" borderId="15" xfId="3" applyNumberFormat="1" applyFont="1" applyFill="1" applyBorder="1" applyAlignment="1">
      <alignment horizontal="center"/>
    </xf>
    <xf numFmtId="181" fontId="33" fillId="17" borderId="78" xfId="3" applyNumberFormat="1" applyFont="1" applyFill="1" applyBorder="1" applyAlignment="1">
      <alignment horizontal="center"/>
    </xf>
    <xf numFmtId="181" fontId="33" fillId="0" borderId="111" xfId="3" applyNumberFormat="1" applyFont="1" applyBorder="1" applyAlignment="1">
      <alignment horizontal="center"/>
    </xf>
    <xf numFmtId="181" fontId="33" fillId="0" borderId="111" xfId="3" applyNumberFormat="1" applyFont="1" applyBorder="1" applyAlignment="1">
      <alignment horizontal="center" wrapText="1"/>
    </xf>
    <xf numFmtId="10" fontId="33" fillId="17" borderId="89" xfId="0" applyNumberFormat="1" applyFont="1" applyFill="1" applyBorder="1" applyAlignment="1">
      <alignment horizontal="center"/>
    </xf>
    <xf numFmtId="10" fontId="33" fillId="17" borderId="15" xfId="0" applyNumberFormat="1" applyFont="1" applyFill="1" applyBorder="1" applyAlignment="1">
      <alignment horizontal="center"/>
    </xf>
    <xf numFmtId="181" fontId="57" fillId="18" borderId="15" xfId="0" applyNumberFormat="1" applyFont="1" applyFill="1" applyBorder="1" applyAlignment="1">
      <alignment horizontal="center"/>
    </xf>
    <xf numFmtId="2" fontId="45" fillId="16" borderId="8" xfId="0" applyNumberFormat="1" applyFont="1" applyFill="1" applyBorder="1" applyAlignment="1" applyProtection="1">
      <alignment horizontal="center"/>
      <protection locked="0"/>
    </xf>
    <xf numFmtId="2" fontId="45" fillId="16" borderId="13" xfId="0" applyNumberFormat="1" applyFont="1" applyFill="1" applyBorder="1" applyAlignment="1" applyProtection="1">
      <alignment horizontal="center"/>
      <protection locked="0"/>
    </xf>
    <xf numFmtId="2" fontId="45" fillId="16" borderId="7" xfId="0" applyNumberFormat="1" applyFont="1" applyFill="1" applyBorder="1" applyAlignment="1" applyProtection="1">
      <alignment horizontal="center"/>
      <protection locked="0"/>
    </xf>
    <xf numFmtId="0" fontId="51" fillId="30" borderId="15" xfId="0" applyFont="1" applyFill="1" applyBorder="1" applyAlignment="1">
      <alignment horizontal="left" wrapText="1"/>
    </xf>
    <xf numFmtId="0" fontId="32" fillId="0" borderId="35" xfId="0" applyFont="1" applyBorder="1" applyAlignment="1">
      <alignment horizontal="center" wrapText="1"/>
    </xf>
    <xf numFmtId="0" fontId="32" fillId="0" borderId="36" xfId="0" applyFont="1" applyBorder="1" applyAlignment="1">
      <alignment horizontal="center" wrapText="1"/>
    </xf>
    <xf numFmtId="0" fontId="124" fillId="27" borderId="0" xfId="0" applyFont="1" applyFill="1" applyAlignment="1">
      <alignment horizontal="left"/>
    </xf>
    <xf numFmtId="0" fontId="125" fillId="27" borderId="0" xfId="0" applyFont="1" applyFill="1" applyAlignment="1">
      <alignment horizontal="left"/>
    </xf>
    <xf numFmtId="0" fontId="126" fillId="27" borderId="0" xfId="0" applyFont="1" applyFill="1" applyAlignment="1">
      <alignment horizontal="left"/>
    </xf>
    <xf numFmtId="44" fontId="0" fillId="17" borderId="23" xfId="2" applyFont="1" applyFill="1" applyBorder="1" applyProtection="1">
      <protection locked="0"/>
    </xf>
    <xf numFmtId="176" fontId="0" fillId="18" borderId="14" xfId="0" applyNumberFormat="1" applyFill="1" applyBorder="1" applyAlignment="1">
      <alignment horizontal="center"/>
    </xf>
    <xf numFmtId="10" fontId="47" fillId="2" borderId="13" xfId="0" applyNumberFormat="1" applyFont="1" applyFill="1" applyBorder="1" applyAlignment="1">
      <alignment horizontal="center"/>
    </xf>
    <xf numFmtId="181" fontId="0" fillId="17" borderId="14" xfId="3" applyNumberFormat="1" applyFont="1" applyFill="1" applyBorder="1" applyProtection="1">
      <protection locked="0"/>
    </xf>
    <xf numFmtId="0" fontId="0" fillId="31" borderId="0" xfId="0" applyFill="1"/>
    <xf numFmtId="0" fontId="50" fillId="2" borderId="4" xfId="0" applyFont="1" applyFill="1" applyBorder="1"/>
    <xf numFmtId="183" fontId="57" fillId="2" borderId="20" xfId="0" applyNumberFormat="1" applyFont="1" applyFill="1" applyBorder="1" applyAlignment="1">
      <alignment horizontal="left"/>
    </xf>
    <xf numFmtId="0" fontId="50" fillId="2" borderId="0" xfId="0" applyFont="1" applyFill="1"/>
    <xf numFmtId="0" fontId="52" fillId="2" borderId="1" xfId="0" applyFont="1" applyFill="1" applyBorder="1" applyAlignment="1">
      <alignment horizontal="left"/>
    </xf>
    <xf numFmtId="0" fontId="57" fillId="2" borderId="2" xfId="0" applyFont="1" applyFill="1" applyBorder="1"/>
    <xf numFmtId="0" fontId="57" fillId="2" borderId="3" xfId="0" applyFont="1" applyFill="1" applyBorder="1" applyAlignment="1">
      <alignment horizontal="left"/>
    </xf>
    <xf numFmtId="0" fontId="50" fillId="2" borderId="5" xfId="0" applyFont="1" applyFill="1" applyBorder="1"/>
    <xf numFmtId="49" fontId="57" fillId="2" borderId="21" xfId="0" applyNumberFormat="1" applyFont="1" applyFill="1" applyBorder="1" applyAlignment="1">
      <alignment horizontal="left"/>
    </xf>
    <xf numFmtId="0" fontId="52" fillId="2" borderId="6" xfId="0" applyFont="1" applyFill="1" applyBorder="1" applyAlignment="1">
      <alignment horizontal="left"/>
    </xf>
    <xf numFmtId="0" fontId="57" fillId="2" borderId="7" xfId="0" applyFont="1" applyFill="1" applyBorder="1"/>
    <xf numFmtId="14" fontId="57" fillId="2" borderId="8" xfId="0" applyNumberFormat="1" applyFont="1" applyFill="1" applyBorder="1" applyAlignment="1">
      <alignment horizontal="left"/>
    </xf>
    <xf numFmtId="0" fontId="0" fillId="12" borderId="0" xfId="0" applyFill="1"/>
    <xf numFmtId="0" fontId="37" fillId="16" borderId="1" xfId="0" applyFont="1" applyFill="1" applyBorder="1" applyAlignment="1">
      <alignment horizontal="center" vertical="center" wrapText="1"/>
    </xf>
    <xf numFmtId="0" fontId="75" fillId="6" borderId="20" xfId="0" applyFont="1" applyFill="1" applyBorder="1" applyAlignment="1">
      <alignment horizontal="center" vertical="center" wrapText="1"/>
    </xf>
    <xf numFmtId="0" fontId="75" fillId="6" borderId="14" xfId="0" applyFont="1" applyFill="1" applyBorder="1" applyAlignment="1">
      <alignment horizontal="center" vertical="center" wrapText="1"/>
    </xf>
    <xf numFmtId="0" fontId="0" fillId="16" borderId="6" xfId="0" applyFill="1" applyBorder="1"/>
    <xf numFmtId="9" fontId="0" fillId="18" borderId="14" xfId="0" applyNumberFormat="1" applyFill="1" applyBorder="1"/>
    <xf numFmtId="0" fontId="0" fillId="6" borderId="0" xfId="0" applyFill="1" applyAlignment="1">
      <alignment horizontal="center" vertical="center"/>
    </xf>
    <xf numFmtId="0" fontId="47" fillId="23" borderId="2" xfId="0" applyFont="1" applyFill="1" applyBorder="1"/>
    <xf numFmtId="10" fontId="0" fillId="6" borderId="2" xfId="0" applyNumberFormat="1" applyFill="1" applyBorder="1"/>
    <xf numFmtId="181" fontId="0" fillId="6" borderId="0" xfId="3" applyNumberFormat="1" applyFont="1" applyFill="1" applyBorder="1" applyProtection="1"/>
    <xf numFmtId="9" fontId="0" fillId="6" borderId="5" xfId="0" applyNumberFormat="1" applyFill="1" applyBorder="1"/>
    <xf numFmtId="0" fontId="0" fillId="16" borderId="0" xfId="0" applyFill="1"/>
    <xf numFmtId="0" fontId="48" fillId="24" borderId="18" xfId="0" applyFont="1" applyFill="1" applyBorder="1"/>
    <xf numFmtId="0" fontId="48" fillId="16" borderId="12" xfId="0" applyFont="1" applyFill="1" applyBorder="1"/>
    <xf numFmtId="10" fontId="0" fillId="7" borderId="14" xfId="0" applyNumberFormat="1" applyFill="1" applyBorder="1"/>
    <xf numFmtId="0" fontId="0" fillId="6" borderId="3" xfId="0" applyFill="1" applyBorder="1"/>
    <xf numFmtId="165" fontId="56" fillId="16" borderId="73" xfId="0" applyNumberFormat="1" applyFont="1" applyFill="1" applyBorder="1"/>
    <xf numFmtId="165" fontId="61" fillId="16" borderId="73" xfId="0" applyNumberFormat="1" applyFont="1" applyFill="1" applyBorder="1"/>
    <xf numFmtId="165" fontId="91" fillId="16" borderId="73" xfId="0" applyNumberFormat="1" applyFont="1" applyFill="1" applyBorder="1"/>
    <xf numFmtId="0" fontId="0" fillId="21" borderId="35" xfId="0" applyFill="1" applyBorder="1"/>
    <xf numFmtId="44" fontId="56" fillId="16" borderId="21" xfId="2" applyFont="1" applyFill="1" applyBorder="1" applyProtection="1"/>
    <xf numFmtId="44" fontId="91" fillId="16" borderId="21" xfId="2" applyFont="1" applyFill="1" applyBorder="1" applyAlignment="1" applyProtection="1">
      <alignment horizontal="left"/>
    </xf>
    <xf numFmtId="0" fontId="0" fillId="23" borderId="105" xfId="0" applyFill="1" applyBorder="1"/>
    <xf numFmtId="0" fontId="0" fillId="7" borderId="102" xfId="0" applyFill="1" applyBorder="1" applyAlignment="1">
      <alignment wrapText="1"/>
    </xf>
    <xf numFmtId="44" fontId="56" fillId="16" borderId="14" xfId="2" applyFont="1" applyFill="1" applyBorder="1" applyProtection="1"/>
    <xf numFmtId="44" fontId="91" fillId="16" borderId="14" xfId="2" applyFont="1" applyFill="1" applyBorder="1" applyAlignment="1" applyProtection="1">
      <alignment horizontal="left"/>
    </xf>
    <xf numFmtId="0" fontId="0" fillId="6" borderId="19" xfId="0" applyFill="1" applyBorder="1"/>
    <xf numFmtId="10" fontId="51" fillId="18" borderId="21" xfId="0" applyNumberFormat="1" applyFont="1" applyFill="1" applyBorder="1"/>
    <xf numFmtId="0" fontId="36" fillId="6" borderId="7" xfId="0" applyFont="1" applyFill="1" applyBorder="1"/>
    <xf numFmtId="44" fontId="56" fillId="16" borderId="73" xfId="0" applyNumberFormat="1" applyFont="1" applyFill="1" applyBorder="1"/>
    <xf numFmtId="0" fontId="50" fillId="6" borderId="73" xfId="0" applyFont="1" applyFill="1" applyBorder="1"/>
    <xf numFmtId="0" fontId="36" fillId="6" borderId="25" xfId="0" applyFont="1" applyFill="1" applyBorder="1"/>
    <xf numFmtId="44" fontId="36" fillId="16" borderId="73" xfId="2" applyFont="1" applyFill="1" applyBorder="1" applyProtection="1"/>
    <xf numFmtId="44" fontId="36" fillId="16" borderId="75" xfId="2" applyFont="1" applyFill="1" applyBorder="1" applyProtection="1"/>
    <xf numFmtId="44" fontId="36" fillId="16" borderId="83" xfId="2" applyFont="1" applyFill="1" applyBorder="1" applyProtection="1"/>
    <xf numFmtId="44" fontId="120" fillId="18" borderId="93" xfId="2" applyFont="1" applyFill="1" applyBorder="1" applyProtection="1"/>
    <xf numFmtId="44" fontId="0" fillId="0" borderId="0" xfId="0" applyNumberFormat="1"/>
    <xf numFmtId="185" fontId="61" fillId="16" borderId="117" xfId="0" applyNumberFormat="1" applyFont="1" applyFill="1" applyBorder="1"/>
    <xf numFmtId="185" fontId="91" fillId="16" borderId="117" xfId="0" applyNumberFormat="1" applyFont="1" applyFill="1" applyBorder="1"/>
    <xf numFmtId="0" fontId="119" fillId="6" borderId="0" xfId="0" applyFont="1" applyFill="1"/>
    <xf numFmtId="10" fontId="56" fillId="6" borderId="96" xfId="0" applyNumberFormat="1" applyFont="1" applyFill="1" applyBorder="1"/>
    <xf numFmtId="0" fontId="48" fillId="6" borderId="95" xfId="0" applyFont="1" applyFill="1" applyBorder="1"/>
    <xf numFmtId="44" fontId="0" fillId="12" borderId="0" xfId="0" applyNumberFormat="1" applyFill="1"/>
    <xf numFmtId="0" fontId="48" fillId="24" borderId="73" xfId="0" applyFont="1" applyFill="1" applyBorder="1"/>
    <xf numFmtId="0" fontId="51" fillId="16" borderId="12" xfId="0" applyFont="1" applyFill="1" applyBorder="1"/>
    <xf numFmtId="0" fontId="36" fillId="16" borderId="2" xfId="0" applyFont="1" applyFill="1" applyBorder="1"/>
    <xf numFmtId="0" fontId="48" fillId="6" borderId="3" xfId="0" applyFont="1" applyFill="1" applyBorder="1"/>
    <xf numFmtId="0" fontId="0" fillId="21" borderId="98" xfId="0" applyFill="1" applyBorder="1"/>
    <xf numFmtId="10" fontId="36" fillId="6" borderId="0" xfId="0" applyNumberFormat="1" applyFont="1" applyFill="1"/>
    <xf numFmtId="0" fontId="48" fillId="6" borderId="5" xfId="0" applyFont="1" applyFill="1" applyBorder="1"/>
    <xf numFmtId="185" fontId="0" fillId="12" borderId="0" xfId="0" applyNumberFormat="1" applyFill="1"/>
    <xf numFmtId="0" fontId="0" fillId="23" borderId="102" xfId="0" applyFill="1" applyBorder="1"/>
    <xf numFmtId="0" fontId="0" fillId="6" borderId="6" xfId="0" applyFill="1" applyBorder="1" applyAlignment="1">
      <alignment wrapText="1"/>
    </xf>
    <xf numFmtId="165" fontId="36" fillId="18" borderId="6" xfId="0" applyNumberFormat="1" applyFont="1" applyFill="1" applyBorder="1"/>
    <xf numFmtId="0" fontId="48" fillId="6" borderId="8" xfId="0" applyFont="1" applyFill="1" applyBorder="1"/>
    <xf numFmtId="0" fontId="0" fillId="6" borderId="90" xfId="0" applyFill="1" applyBorder="1"/>
    <xf numFmtId="165" fontId="51" fillId="16" borderId="67" xfId="0" applyNumberFormat="1" applyFont="1" applyFill="1" applyBorder="1"/>
    <xf numFmtId="0" fontId="36" fillId="7" borderId="24" xfId="0" applyFont="1" applyFill="1" applyBorder="1"/>
    <xf numFmtId="44" fontId="120" fillId="18" borderId="81" xfId="2" applyFont="1" applyFill="1" applyBorder="1" applyProtection="1"/>
    <xf numFmtId="0" fontId="119" fillId="6" borderId="95" xfId="0" applyFont="1" applyFill="1" applyBorder="1"/>
    <xf numFmtId="165" fontId="119" fillId="6" borderId="95" xfId="0" applyNumberFormat="1" applyFont="1" applyFill="1" applyBorder="1"/>
    <xf numFmtId="44" fontId="56" fillId="12" borderId="0" xfId="2" applyFont="1" applyFill="1" applyBorder="1" applyProtection="1"/>
    <xf numFmtId="44" fontId="61" fillId="12" borderId="0" xfId="2" applyFont="1" applyFill="1" applyBorder="1" applyProtection="1"/>
    <xf numFmtId="44" fontId="91" fillId="12" borderId="0" xfId="2" applyFont="1" applyFill="1" applyBorder="1" applyProtection="1"/>
    <xf numFmtId="0" fontId="48" fillId="24" borderId="20" xfId="0" applyFont="1" applyFill="1" applyBorder="1"/>
    <xf numFmtId="0" fontId="36" fillId="16" borderId="18" xfId="0" applyFont="1" applyFill="1" applyBorder="1"/>
    <xf numFmtId="0" fontId="36" fillId="6" borderId="6" xfId="0" applyFont="1" applyFill="1" applyBorder="1"/>
    <xf numFmtId="0" fontId="36" fillId="0" borderId="67" xfId="0" applyFont="1" applyBorder="1"/>
    <xf numFmtId="44" fontId="36" fillId="16" borderId="90" xfId="2" applyFont="1" applyFill="1" applyBorder="1" applyProtection="1"/>
    <xf numFmtId="44" fontId="36" fillId="16" borderId="92" xfId="2" applyFont="1" applyFill="1" applyBorder="1" applyProtection="1"/>
    <xf numFmtId="44" fontId="120" fillId="18" borderId="97" xfId="2" applyFont="1" applyFill="1" applyBorder="1" applyProtection="1"/>
    <xf numFmtId="4" fontId="51" fillId="0" borderId="0" xfId="0" applyNumberFormat="1" applyFont="1" applyAlignment="1">
      <alignment horizontal="left"/>
    </xf>
    <xf numFmtId="10" fontId="0" fillId="6" borderId="0" xfId="0" applyNumberFormat="1" applyFill="1"/>
    <xf numFmtId="4" fontId="51" fillId="6" borderId="0" xfId="0" applyNumberFormat="1" applyFont="1" applyFill="1" applyAlignment="1">
      <alignment horizontal="left"/>
    </xf>
    <xf numFmtId="0" fontId="32" fillId="16" borderId="37" xfId="0" applyFont="1" applyFill="1" applyBorder="1" applyAlignment="1">
      <alignment vertical="center"/>
    </xf>
    <xf numFmtId="0" fontId="32" fillId="16" borderId="77" xfId="0" applyFont="1" applyFill="1" applyBorder="1" applyAlignment="1">
      <alignment vertical="center"/>
    </xf>
    <xf numFmtId="44" fontId="0" fillId="6" borderId="0" xfId="0" applyNumberFormat="1" applyFill="1"/>
    <xf numFmtId="0" fontId="34" fillId="6" borderId="35" xfId="0" applyFont="1" applyFill="1" applyBorder="1" applyAlignment="1">
      <alignment wrapText="1"/>
    </xf>
    <xf numFmtId="4" fontId="32" fillId="29" borderId="111" xfId="0" applyNumberFormat="1" applyFont="1" applyFill="1" applyBorder="1" applyAlignment="1">
      <alignment horizontal="left"/>
    </xf>
    <xf numFmtId="0" fontId="34" fillId="6" borderId="4" xfId="0" applyFont="1" applyFill="1" applyBorder="1"/>
    <xf numFmtId="4" fontId="32" fillId="29" borderId="115" xfId="0" applyNumberFormat="1" applyFont="1" applyFill="1" applyBorder="1" applyAlignment="1">
      <alignment horizontal="left"/>
    </xf>
    <xf numFmtId="2" fontId="34" fillId="6" borderId="20" xfId="0" applyNumberFormat="1" applyFont="1" applyFill="1" applyBorder="1"/>
    <xf numFmtId="4" fontId="51" fillId="22" borderId="15" xfId="0" applyNumberFormat="1" applyFont="1" applyFill="1" applyBorder="1" applyAlignment="1">
      <alignment horizontal="left" wrapText="1"/>
    </xf>
    <xf numFmtId="44" fontId="51" fillId="22" borderId="22" xfId="2" applyFont="1" applyFill="1" applyBorder="1" applyAlignment="1" applyProtection="1">
      <alignment horizontal="center" vertical="center"/>
    </xf>
    <xf numFmtId="44" fontId="51" fillId="22" borderId="116" xfId="2" applyFont="1" applyFill="1" applyBorder="1" applyAlignment="1" applyProtection="1">
      <alignment horizontal="center" vertical="center"/>
    </xf>
    <xf numFmtId="44" fontId="51" fillId="22" borderId="23" xfId="2" applyFont="1" applyFill="1" applyBorder="1" applyAlignment="1" applyProtection="1">
      <alignment horizontal="center" vertical="center"/>
    </xf>
    <xf numFmtId="4" fontId="57" fillId="29" borderId="111" xfId="0" applyNumberFormat="1" applyFont="1" applyFill="1" applyBorder="1" applyAlignment="1">
      <alignment horizontal="left" wrapText="1"/>
    </xf>
    <xf numFmtId="165" fontId="32" fillId="0" borderId="14" xfId="0" applyNumberFormat="1" applyFont="1" applyBorder="1" applyAlignment="1">
      <alignment horizontal="center" vertical="center"/>
    </xf>
    <xf numFmtId="4" fontId="51" fillId="29" borderId="9" xfId="0" applyNumberFormat="1" applyFont="1" applyFill="1" applyBorder="1" applyAlignment="1">
      <alignment horizontal="left" wrapText="1"/>
    </xf>
    <xf numFmtId="10" fontId="51" fillId="0" borderId="22" xfId="3" applyNumberFormat="1" applyFont="1" applyBorder="1" applyAlignment="1" applyProtection="1">
      <alignment horizontal="right"/>
    </xf>
    <xf numFmtId="10" fontId="51" fillId="0" borderId="116" xfId="0" applyNumberFormat="1" applyFont="1" applyBorder="1" applyAlignment="1">
      <alignment horizontal="right"/>
    </xf>
    <xf numFmtId="10" fontId="51" fillId="0" borderId="23" xfId="0" applyNumberFormat="1" applyFont="1" applyBorder="1" applyAlignment="1">
      <alignment horizontal="right"/>
    </xf>
    <xf numFmtId="0" fontId="127" fillId="0" borderId="8" xfId="0" applyFont="1" applyBorder="1" applyAlignment="1">
      <alignment horizontal="right"/>
    </xf>
    <xf numFmtId="0" fontId="0" fillId="6" borderId="121" xfId="0" applyFill="1" applyBorder="1"/>
    <xf numFmtId="0" fontId="127" fillId="0" borderId="5" xfId="0" applyFont="1" applyBorder="1" applyAlignment="1">
      <alignment horizontal="right"/>
    </xf>
    <xf numFmtId="0" fontId="127" fillId="0" borderId="8" xfId="0" applyFont="1" applyBorder="1" applyAlignment="1" applyProtection="1">
      <alignment horizontal="right"/>
      <protection hidden="1"/>
    </xf>
    <xf numFmtId="0" fontId="105" fillId="0" borderId="0" xfId="0" applyFont="1"/>
    <xf numFmtId="14" fontId="113" fillId="0" borderId="0" xfId="0" applyNumberFormat="1" applyFont="1"/>
    <xf numFmtId="14" fontId="115" fillId="0" borderId="0" xfId="0" applyNumberFormat="1" applyFont="1"/>
    <xf numFmtId="0" fontId="106" fillId="0" borderId="0" xfId="0" applyFont="1"/>
    <xf numFmtId="0" fontId="101" fillId="0" borderId="0" xfId="0" applyFont="1"/>
    <xf numFmtId="0" fontId="100" fillId="0" borderId="0" xfId="0" applyFont="1" applyProtection="1">
      <protection hidden="1"/>
    </xf>
    <xf numFmtId="0" fontId="47" fillId="0" borderId="0" xfId="0" applyFont="1" applyProtection="1">
      <protection hidden="1"/>
    </xf>
    <xf numFmtId="14" fontId="90" fillId="0" borderId="0" xfId="0" applyNumberFormat="1" applyFont="1"/>
    <xf numFmtId="0" fontId="104" fillId="0" borderId="0" xfId="0" applyFont="1"/>
    <xf numFmtId="0" fontId="99" fillId="0" borderId="0" xfId="0" applyFont="1"/>
    <xf numFmtId="0" fontId="112" fillId="0" borderId="0" xfId="0" applyFont="1"/>
    <xf numFmtId="0" fontId="65" fillId="0" borderId="0" xfId="0" applyFont="1" applyProtection="1">
      <protection hidden="1"/>
    </xf>
    <xf numFmtId="0" fontId="102" fillId="0" borderId="0" xfId="0" applyFont="1" applyProtection="1">
      <protection hidden="1"/>
    </xf>
    <xf numFmtId="2" fontId="100" fillId="0" borderId="0" xfId="0" applyNumberFormat="1" applyFont="1" applyProtection="1">
      <protection hidden="1"/>
    </xf>
    <xf numFmtId="2" fontId="0" fillId="0" borderId="0" xfId="0" applyNumberFormat="1" applyProtection="1">
      <protection hidden="1"/>
    </xf>
    <xf numFmtId="0" fontId="56" fillId="0" borderId="0" xfId="0" applyFont="1"/>
    <xf numFmtId="0" fontId="56" fillId="0" borderId="0" xfId="0" applyFont="1" applyAlignment="1" applyProtection="1">
      <alignment vertical="center"/>
      <protection hidden="1"/>
    </xf>
    <xf numFmtId="0" fontId="110" fillId="0" borderId="0" xfId="0" applyFont="1" applyAlignment="1" applyProtection="1">
      <alignment vertical="center"/>
      <protection hidden="1"/>
    </xf>
    <xf numFmtId="0" fontId="109" fillId="0" borderId="0" xfId="0" applyFont="1" applyAlignment="1" applyProtection="1">
      <alignment vertical="center"/>
      <protection hidden="1"/>
    </xf>
    <xf numFmtId="44" fontId="0" fillId="16" borderId="23" xfId="2" applyFont="1" applyFill="1" applyBorder="1" applyProtection="1"/>
    <xf numFmtId="0" fontId="48" fillId="2" borderId="13" xfId="0" applyFont="1" applyFill="1" applyBorder="1"/>
    <xf numFmtId="0" fontId="0" fillId="16" borderId="8" xfId="0" applyFill="1" applyBorder="1"/>
    <xf numFmtId="0" fontId="31" fillId="0" borderId="0" xfId="0" applyFont="1" applyAlignment="1" applyProtection="1">
      <alignment vertical="center"/>
      <protection hidden="1"/>
    </xf>
    <xf numFmtId="14" fontId="90" fillId="0" borderId="0" xfId="0" applyNumberFormat="1" applyFont="1" applyProtection="1">
      <protection hidden="1"/>
    </xf>
    <xf numFmtId="14" fontId="100" fillId="0" borderId="0" xfId="0" applyNumberFormat="1" applyFont="1" applyProtection="1">
      <protection hidden="1"/>
    </xf>
    <xf numFmtId="14" fontId="63" fillId="0" borderId="0" xfId="0" applyNumberFormat="1" applyFont="1" applyProtection="1">
      <protection hidden="1"/>
    </xf>
    <xf numFmtId="14" fontId="0" fillId="0" borderId="0" xfId="0" applyNumberFormat="1" applyProtection="1">
      <protection hidden="1"/>
    </xf>
    <xf numFmtId="0" fontId="105" fillId="0" borderId="0" xfId="0" applyFont="1" applyProtection="1">
      <protection hidden="1"/>
    </xf>
    <xf numFmtId="0" fontId="74" fillId="0" borderId="0" xfId="0" applyFont="1" applyProtection="1">
      <protection hidden="1"/>
    </xf>
    <xf numFmtId="0" fontId="109" fillId="0" borderId="0" xfId="0" applyFont="1" applyProtection="1">
      <protection hidden="1"/>
    </xf>
    <xf numFmtId="0" fontId="62" fillId="0" borderId="0" xfId="0" applyFont="1" applyAlignment="1" applyProtection="1">
      <alignment horizontal="left"/>
      <protection hidden="1"/>
    </xf>
    <xf numFmtId="0" fontId="52" fillId="0" borderId="0" xfId="0" applyFont="1" applyAlignment="1" applyProtection="1">
      <alignment horizontal="left"/>
      <protection hidden="1"/>
    </xf>
    <xf numFmtId="0" fontId="57" fillId="8" borderId="0" xfId="0" applyFont="1" applyFill="1" applyAlignment="1" applyProtection="1">
      <alignment horizontal="left"/>
      <protection hidden="1"/>
    </xf>
    <xf numFmtId="0" fontId="0" fillId="8" borderId="0" xfId="0" applyFill="1" applyProtection="1">
      <protection hidden="1"/>
    </xf>
    <xf numFmtId="0" fontId="45" fillId="0" borderId="0" xfId="0" applyFont="1" applyAlignment="1" applyProtection="1">
      <alignment horizontal="center"/>
      <protection hidden="1"/>
    </xf>
    <xf numFmtId="0" fontId="52" fillId="0" borderId="0" xfId="0" applyFont="1" applyAlignment="1" applyProtection="1">
      <alignment horizontal="right"/>
      <protection hidden="1"/>
    </xf>
    <xf numFmtId="3" fontId="52" fillId="7" borderId="14" xfId="0" applyNumberFormat="1" applyFont="1" applyFill="1" applyBorder="1" applyAlignment="1" applyProtection="1">
      <alignment horizontal="center"/>
      <protection hidden="1"/>
    </xf>
    <xf numFmtId="0" fontId="51" fillId="7" borderId="14" xfId="0" applyFont="1" applyFill="1" applyBorder="1" applyAlignment="1" applyProtection="1">
      <alignment horizontal="center"/>
      <protection hidden="1"/>
    </xf>
    <xf numFmtId="167" fontId="51" fillId="7" borderId="14" xfId="0" applyNumberFormat="1" applyFont="1" applyFill="1" applyBorder="1" applyAlignment="1" applyProtection="1">
      <alignment horizontal="center"/>
      <protection hidden="1"/>
    </xf>
    <xf numFmtId="4" fontId="51" fillId="7" borderId="14" xfId="0" applyNumberFormat="1" applyFont="1" applyFill="1" applyBorder="1" applyAlignment="1" applyProtection="1">
      <alignment horizontal="center"/>
      <protection hidden="1"/>
    </xf>
    <xf numFmtId="0" fontId="52" fillId="8" borderId="0" xfId="0" applyFont="1" applyFill="1" applyAlignment="1" applyProtection="1">
      <alignment horizontal="right" indent="1"/>
      <protection hidden="1"/>
    </xf>
    <xf numFmtId="0" fontId="56" fillId="8" borderId="0" xfId="0" applyFont="1" applyFill="1" applyProtection="1">
      <protection hidden="1"/>
    </xf>
    <xf numFmtId="0" fontId="57" fillId="8" borderId="0" xfId="0" applyFont="1" applyFill="1" applyAlignment="1" applyProtection="1">
      <alignment horizontal="right"/>
      <protection hidden="1"/>
    </xf>
    <xf numFmtId="0" fontId="52" fillId="8" borderId="0" xfId="0" applyFont="1" applyFill="1" applyAlignment="1" applyProtection="1">
      <alignment horizontal="right"/>
      <protection hidden="1"/>
    </xf>
    <xf numFmtId="0" fontId="57" fillId="0" borderId="0" xfId="0" applyFont="1" applyAlignment="1" applyProtection="1">
      <alignment horizontal="right"/>
      <protection hidden="1"/>
    </xf>
    <xf numFmtId="0" fontId="111" fillId="0" borderId="0" xfId="0" applyFont="1" applyProtection="1">
      <protection hidden="1"/>
    </xf>
    <xf numFmtId="1" fontId="61" fillId="8" borderId="0" xfId="0" applyNumberFormat="1" applyFont="1" applyFill="1" applyAlignment="1" applyProtection="1">
      <alignment horizontal="center"/>
      <protection hidden="1"/>
    </xf>
    <xf numFmtId="1" fontId="57" fillId="7" borderId="14" xfId="0" applyNumberFormat="1" applyFont="1" applyFill="1" applyBorder="1" applyAlignment="1" applyProtection="1">
      <alignment horizontal="right" indent="1"/>
      <protection hidden="1"/>
    </xf>
    <xf numFmtId="0" fontId="57" fillId="7" borderId="0" xfId="0" applyFont="1" applyFill="1" applyProtection="1">
      <protection hidden="1"/>
    </xf>
    <xf numFmtId="0" fontId="50" fillId="7" borderId="0" xfId="0" applyFont="1" applyFill="1" applyProtection="1">
      <protection hidden="1"/>
    </xf>
    <xf numFmtId="4" fontId="61" fillId="8" borderId="0" xfId="0" applyNumberFormat="1" applyFont="1" applyFill="1" applyAlignment="1" applyProtection="1">
      <alignment horizontal="center"/>
      <protection hidden="1"/>
    </xf>
    <xf numFmtId="3" fontId="61" fillId="8" borderId="0" xfId="0" applyNumberFormat="1" applyFont="1" applyFill="1" applyAlignment="1" applyProtection="1">
      <alignment horizontal="center"/>
      <protection hidden="1"/>
    </xf>
    <xf numFmtId="4" fontId="45" fillId="7" borderId="14" xfId="0" applyNumberFormat="1" applyFont="1" applyFill="1" applyBorder="1" applyProtection="1">
      <protection hidden="1"/>
    </xf>
    <xf numFmtId="4" fontId="45" fillId="2" borderId="26" xfId="0" applyNumberFormat="1" applyFont="1" applyFill="1" applyBorder="1" applyProtection="1">
      <protection hidden="1"/>
    </xf>
    <xf numFmtId="164" fontId="45" fillId="2" borderId="14" xfId="0" applyNumberFormat="1" applyFont="1" applyFill="1" applyBorder="1" applyProtection="1">
      <protection hidden="1"/>
    </xf>
    <xf numFmtId="169" fontId="0" fillId="8" borderId="0" xfId="0" applyNumberFormat="1" applyFill="1" applyProtection="1">
      <protection hidden="1"/>
    </xf>
    <xf numFmtId="0" fontId="67" fillId="8" borderId="0" xfId="0" applyFont="1" applyFill="1" applyProtection="1">
      <protection hidden="1"/>
    </xf>
    <xf numFmtId="0" fontId="52" fillId="0" borderId="0" xfId="0" applyFont="1" applyAlignment="1" applyProtection="1">
      <alignment horizontal="right" indent="1"/>
      <protection hidden="1"/>
    </xf>
    <xf numFmtId="3" fontId="0" fillId="8" borderId="0" xfId="0" applyNumberFormat="1" applyFill="1" applyAlignment="1" applyProtection="1">
      <alignment horizontal="center"/>
      <protection hidden="1"/>
    </xf>
    <xf numFmtId="0" fontId="45" fillId="2" borderId="12" xfId="0" applyFont="1" applyFill="1" applyBorder="1" applyAlignment="1" applyProtection="1">
      <alignment horizontal="center" wrapText="1"/>
      <protection hidden="1"/>
    </xf>
    <xf numFmtId="0" fontId="45" fillId="2" borderId="14" xfId="0" applyFont="1" applyFill="1" applyBorder="1" applyAlignment="1" applyProtection="1">
      <alignment horizontal="center" wrapText="1"/>
      <protection hidden="1"/>
    </xf>
    <xf numFmtId="0" fontId="45" fillId="2" borderId="13" xfId="0" applyFont="1" applyFill="1" applyBorder="1" applyAlignment="1" applyProtection="1">
      <alignment horizontal="center" wrapText="1"/>
      <protection hidden="1"/>
    </xf>
    <xf numFmtId="0" fontId="0" fillId="2" borderId="18" xfId="0" applyFill="1" applyBorder="1" applyProtection="1">
      <protection hidden="1"/>
    </xf>
    <xf numFmtId="0" fontId="41" fillId="2" borderId="13" xfId="0" applyFont="1" applyFill="1" applyBorder="1" applyAlignment="1" applyProtection="1">
      <alignment horizontal="right"/>
      <protection hidden="1"/>
    </xf>
    <xf numFmtId="0" fontId="61" fillId="8" borderId="18" xfId="0" applyFont="1" applyFill="1" applyBorder="1" applyAlignment="1" applyProtection="1">
      <alignment horizontal="right"/>
      <protection hidden="1"/>
    </xf>
    <xf numFmtId="0" fontId="45" fillId="2" borderId="12" xfId="0" applyFont="1" applyFill="1" applyBorder="1" applyAlignment="1" applyProtection="1">
      <alignment horizontal="right"/>
      <protection hidden="1"/>
    </xf>
    <xf numFmtId="0" fontId="45" fillId="2" borderId="18" xfId="0" applyFont="1" applyFill="1" applyBorder="1" applyAlignment="1" applyProtection="1">
      <alignment horizontal="right"/>
      <protection hidden="1"/>
    </xf>
    <xf numFmtId="0" fontId="52" fillId="0" borderId="18" xfId="0" applyFont="1" applyBorder="1" applyAlignment="1" applyProtection="1">
      <alignment horizontal="left"/>
      <protection hidden="1"/>
    </xf>
    <xf numFmtId="166" fontId="52" fillId="7" borderId="13" xfId="0" applyNumberFormat="1" applyFont="1" applyFill="1" applyBorder="1" applyAlignment="1" applyProtection="1">
      <alignment horizontal="right"/>
      <protection hidden="1"/>
    </xf>
    <xf numFmtId="4" fontId="61" fillId="8" borderId="18" xfId="0" applyNumberFormat="1" applyFont="1" applyFill="1" applyBorder="1" applyProtection="1">
      <protection hidden="1"/>
    </xf>
    <xf numFmtId="166" fontId="61" fillId="8" borderId="18" xfId="0" applyNumberFormat="1" applyFont="1" applyFill="1" applyBorder="1" applyProtection="1">
      <protection hidden="1"/>
    </xf>
    <xf numFmtId="166" fontId="52" fillId="8" borderId="12" xfId="0" applyNumberFormat="1" applyFont="1" applyFill="1" applyBorder="1" applyProtection="1">
      <protection hidden="1"/>
    </xf>
    <xf numFmtId="166" fontId="52" fillId="7" borderId="13" xfId="0" applyNumberFormat="1" applyFont="1" applyFill="1" applyBorder="1" applyProtection="1">
      <protection hidden="1"/>
    </xf>
    <xf numFmtId="166" fontId="52" fillId="8" borderId="18" xfId="0" applyNumberFormat="1" applyFont="1" applyFill="1" applyBorder="1" applyProtection="1">
      <protection hidden="1"/>
    </xf>
    <xf numFmtId="166" fontId="51" fillId="8" borderId="12" xfId="0" applyNumberFormat="1" applyFont="1" applyFill="1" applyBorder="1" applyProtection="1">
      <protection hidden="1"/>
    </xf>
    <xf numFmtId="166" fontId="51" fillId="7" borderId="13" xfId="0" applyNumberFormat="1" applyFont="1" applyFill="1" applyBorder="1" applyProtection="1">
      <protection hidden="1"/>
    </xf>
    <xf numFmtId="166" fontId="0" fillId="8" borderId="0" xfId="0" applyNumberFormat="1" applyFill="1" applyProtection="1">
      <protection hidden="1"/>
    </xf>
    <xf numFmtId="166" fontId="0" fillId="0" borderId="0" xfId="0" applyNumberFormat="1" applyProtection="1">
      <protection hidden="1"/>
    </xf>
    <xf numFmtId="0" fontId="45" fillId="0" borderId="18" xfId="0" applyFont="1" applyBorder="1" applyProtection="1">
      <protection hidden="1"/>
    </xf>
    <xf numFmtId="16" fontId="40" fillId="7" borderId="18" xfId="0" quotePrefix="1" applyNumberFormat="1" applyFont="1" applyFill="1" applyBorder="1" applyAlignment="1" applyProtection="1">
      <alignment horizontal="left"/>
      <protection hidden="1"/>
    </xf>
    <xf numFmtId="166" fontId="57" fillId="7" borderId="13" xfId="0" applyNumberFormat="1" applyFont="1" applyFill="1" applyBorder="1" applyAlignment="1" applyProtection="1">
      <alignment horizontal="right"/>
      <protection hidden="1"/>
    </xf>
    <xf numFmtId="166" fontId="45" fillId="8" borderId="12" xfId="0" applyNumberFormat="1" applyFont="1" applyFill="1" applyBorder="1" applyProtection="1">
      <protection hidden="1"/>
    </xf>
    <xf numFmtId="166" fontId="45" fillId="7" borderId="13" xfId="0" applyNumberFormat="1" applyFont="1" applyFill="1" applyBorder="1" applyProtection="1">
      <protection hidden="1"/>
    </xf>
    <xf numFmtId="166" fontId="45" fillId="8" borderId="1" xfId="0" quotePrefix="1" applyNumberFormat="1" applyFont="1" applyFill="1" applyBorder="1" applyProtection="1">
      <protection hidden="1"/>
    </xf>
    <xf numFmtId="166" fontId="0" fillId="0" borderId="2" xfId="0" applyNumberFormat="1" applyBorder="1" applyProtection="1">
      <protection hidden="1"/>
    </xf>
    <xf numFmtId="166" fontId="45" fillId="7" borderId="3" xfId="0" applyNumberFormat="1" applyFont="1" applyFill="1" applyBorder="1" applyProtection="1">
      <protection hidden="1"/>
    </xf>
    <xf numFmtId="166" fontId="45" fillId="8" borderId="2" xfId="0" applyNumberFormat="1" applyFont="1" applyFill="1" applyBorder="1" applyProtection="1">
      <protection hidden="1"/>
    </xf>
    <xf numFmtId="166" fontId="45" fillId="8" borderId="1" xfId="0" applyNumberFormat="1" applyFont="1" applyFill="1" applyBorder="1" applyProtection="1">
      <protection hidden="1"/>
    </xf>
    <xf numFmtId="166" fontId="45" fillId="8" borderId="4" xfId="0" quotePrefix="1" applyNumberFormat="1" applyFont="1" applyFill="1" applyBorder="1" applyProtection="1">
      <protection hidden="1"/>
    </xf>
    <xf numFmtId="166" fontId="45" fillId="0" borderId="18" xfId="0" applyNumberFormat="1" applyFont="1" applyBorder="1" applyProtection="1">
      <protection hidden="1"/>
    </xf>
    <xf numFmtId="166" fontId="45" fillId="0" borderId="18" xfId="0" quotePrefix="1" applyNumberFormat="1" applyFont="1" applyBorder="1" applyProtection="1">
      <protection hidden="1"/>
    </xf>
    <xf numFmtId="166" fontId="0" fillId="0" borderId="18" xfId="0" applyNumberFormat="1" applyBorder="1" applyProtection="1">
      <protection hidden="1"/>
    </xf>
    <xf numFmtId="166" fontId="45" fillId="8" borderId="0" xfId="0" applyNumberFormat="1" applyFont="1" applyFill="1" applyProtection="1">
      <protection hidden="1"/>
    </xf>
    <xf numFmtId="166" fontId="51" fillId="7" borderId="14" xfId="0" applyNumberFormat="1" applyFont="1" applyFill="1" applyBorder="1" applyProtection="1">
      <protection hidden="1"/>
    </xf>
    <xf numFmtId="0" fontId="115" fillId="0" borderId="0" xfId="0" applyFont="1" applyProtection="1">
      <protection hidden="1"/>
    </xf>
    <xf numFmtId="166" fontId="45" fillId="7" borderId="8" xfId="0" applyNumberFormat="1" applyFont="1" applyFill="1" applyBorder="1" applyProtection="1">
      <protection hidden="1"/>
    </xf>
    <xf numFmtId="166" fontId="45" fillId="8" borderId="7" xfId="0" applyNumberFormat="1" applyFont="1" applyFill="1" applyBorder="1" applyProtection="1">
      <protection hidden="1"/>
    </xf>
    <xf numFmtId="166" fontId="45" fillId="8" borderId="6" xfId="0" applyNumberFormat="1" applyFont="1" applyFill="1" applyBorder="1" applyProtection="1">
      <protection hidden="1"/>
    </xf>
    <xf numFmtId="16" fontId="45" fillId="0" borderId="18" xfId="0" applyNumberFormat="1" applyFont="1" applyBorder="1" applyProtection="1">
      <protection hidden="1"/>
    </xf>
    <xf numFmtId="166" fontId="45" fillId="8" borderId="18" xfId="0" applyNumberFormat="1" applyFont="1" applyFill="1" applyBorder="1" applyProtection="1">
      <protection hidden="1"/>
    </xf>
    <xf numFmtId="0" fontId="64" fillId="0" borderId="0" xfId="0" applyFont="1" applyProtection="1">
      <protection hidden="1"/>
    </xf>
    <xf numFmtId="16" fontId="45" fillId="7" borderId="18" xfId="0" quotePrefix="1" applyNumberFormat="1" applyFont="1" applyFill="1" applyBorder="1" applyAlignment="1" applyProtection="1">
      <alignment horizontal="left"/>
      <protection hidden="1"/>
    </xf>
    <xf numFmtId="0" fontId="0" fillId="0" borderId="0" xfId="0" applyAlignment="1" applyProtection="1">
      <alignment horizontal="left"/>
      <protection hidden="1"/>
    </xf>
    <xf numFmtId="166" fontId="50" fillId="0" borderId="0" xfId="0" applyNumberFormat="1" applyFont="1" applyAlignment="1" applyProtection="1">
      <alignment horizontal="left"/>
      <protection hidden="1"/>
    </xf>
    <xf numFmtId="166" fontId="0" fillId="8" borderId="0" xfId="0" applyNumberFormat="1" applyFill="1" applyAlignment="1" applyProtection="1">
      <alignment horizontal="left"/>
      <protection hidden="1"/>
    </xf>
    <xf numFmtId="0" fontId="51" fillId="0" borderId="18" xfId="0" applyFont="1" applyBorder="1" applyProtection="1">
      <protection hidden="1"/>
    </xf>
    <xf numFmtId="166" fontId="51" fillId="8" borderId="0" xfId="0" applyNumberFormat="1" applyFont="1" applyFill="1" applyProtection="1">
      <protection hidden="1"/>
    </xf>
    <xf numFmtId="49" fontId="45" fillId="0" borderId="18" xfId="0" applyNumberFormat="1" applyFont="1" applyBorder="1" applyProtection="1">
      <protection hidden="1"/>
    </xf>
    <xf numFmtId="0" fontId="40" fillId="7" borderId="18" xfId="0" applyFont="1" applyFill="1" applyBorder="1" applyAlignment="1" applyProtection="1">
      <alignment horizontal="left"/>
      <protection hidden="1"/>
    </xf>
    <xf numFmtId="166" fontId="45" fillId="8" borderId="12" xfId="0" quotePrefix="1" applyNumberFormat="1" applyFont="1" applyFill="1" applyBorder="1" applyProtection="1">
      <protection hidden="1"/>
    </xf>
    <xf numFmtId="166" fontId="45" fillId="0" borderId="13" xfId="0" applyNumberFormat="1" applyFont="1" applyBorder="1" applyProtection="1">
      <protection hidden="1"/>
    </xf>
    <xf numFmtId="166" fontId="45" fillId="8" borderId="6" xfId="0" quotePrefix="1" applyNumberFormat="1" applyFont="1" applyFill="1" applyBorder="1" applyProtection="1">
      <protection hidden="1"/>
    </xf>
    <xf numFmtId="166" fontId="0" fillId="8" borderId="2" xfId="0" applyNumberFormat="1" applyFill="1" applyBorder="1" applyProtection="1">
      <protection hidden="1"/>
    </xf>
    <xf numFmtId="0" fontId="57" fillId="7" borderId="18" xfId="0" applyFont="1" applyFill="1" applyBorder="1" applyAlignment="1" applyProtection="1">
      <alignment horizontal="left" vertical="center"/>
      <protection hidden="1"/>
    </xf>
    <xf numFmtId="166" fontId="0" fillId="8" borderId="4" xfId="0" applyNumberFormat="1" applyFill="1" applyBorder="1" applyProtection="1">
      <protection hidden="1"/>
    </xf>
    <xf numFmtId="49" fontId="45" fillId="7" borderId="18" xfId="0" applyNumberFormat="1" applyFont="1" applyFill="1" applyBorder="1" applyProtection="1">
      <protection hidden="1"/>
    </xf>
    <xf numFmtId="0" fontId="75" fillId="7" borderId="18" xfId="0" applyFont="1" applyFill="1" applyBorder="1" applyAlignment="1" applyProtection="1">
      <alignment horizontal="left"/>
      <protection hidden="1"/>
    </xf>
    <xf numFmtId="166" fontId="45" fillId="0" borderId="0" xfId="0" applyNumberFormat="1" applyFont="1" applyProtection="1">
      <protection hidden="1"/>
    </xf>
    <xf numFmtId="0" fontId="52" fillId="7" borderId="18" xfId="0" applyFont="1" applyFill="1" applyBorder="1" applyAlignment="1" applyProtection="1">
      <alignment horizontal="left"/>
      <protection hidden="1"/>
    </xf>
    <xf numFmtId="0" fontId="52" fillId="0" borderId="18" xfId="0" applyFont="1" applyBorder="1" applyProtection="1">
      <protection hidden="1"/>
    </xf>
    <xf numFmtId="16" fontId="45" fillId="7" borderId="18" xfId="0" applyNumberFormat="1" applyFont="1" applyFill="1" applyBorder="1" applyProtection="1">
      <protection hidden="1"/>
    </xf>
    <xf numFmtId="16" fontId="40" fillId="7" borderId="18" xfId="0" quotePrefix="1" applyNumberFormat="1" applyFont="1" applyFill="1" applyBorder="1" applyProtection="1">
      <protection hidden="1"/>
    </xf>
    <xf numFmtId="166" fontId="58" fillId="8" borderId="4" xfId="0" applyNumberFormat="1" applyFont="1" applyFill="1" applyBorder="1" applyAlignment="1" applyProtection="1">
      <alignment vertical="top" wrapText="1"/>
      <protection hidden="1"/>
    </xf>
    <xf numFmtId="166" fontId="68" fillId="0" borderId="0" xfId="0" applyNumberFormat="1" applyFont="1" applyAlignment="1" applyProtection="1">
      <alignment vertical="top" wrapText="1"/>
      <protection hidden="1"/>
    </xf>
    <xf numFmtId="166" fontId="68" fillId="8" borderId="0" xfId="0" applyNumberFormat="1" applyFont="1" applyFill="1" applyAlignment="1" applyProtection="1">
      <alignment vertical="top" wrapText="1"/>
      <protection hidden="1"/>
    </xf>
    <xf numFmtId="16" fontId="45" fillId="7" borderId="18" xfId="0" quotePrefix="1" applyNumberFormat="1" applyFont="1" applyFill="1" applyBorder="1" applyProtection="1">
      <protection hidden="1"/>
    </xf>
    <xf numFmtId="166" fontId="68" fillId="8" borderId="4" xfId="0" applyNumberFormat="1" applyFont="1" applyFill="1" applyBorder="1" applyAlignment="1" applyProtection="1">
      <alignment vertical="top" wrapText="1"/>
      <protection hidden="1"/>
    </xf>
    <xf numFmtId="0" fontId="68" fillId="0" borderId="5" xfId="0" applyFont="1" applyBorder="1" applyAlignment="1" applyProtection="1">
      <alignment horizontal="right" indent="1"/>
      <protection hidden="1"/>
    </xf>
    <xf numFmtId="0" fontId="61" fillId="8" borderId="18" xfId="0" applyFont="1" applyFill="1" applyBorder="1" applyProtection="1">
      <protection hidden="1"/>
    </xf>
    <xf numFmtId="166" fontId="68" fillId="8" borderId="4" xfId="0" applyNumberFormat="1" applyFont="1" applyFill="1" applyBorder="1" applyProtection="1">
      <protection hidden="1"/>
    </xf>
    <xf numFmtId="166" fontId="68" fillId="0" borderId="0" xfId="0" applyNumberFormat="1" applyFont="1" applyProtection="1">
      <protection hidden="1"/>
    </xf>
    <xf numFmtId="166" fontId="68" fillId="8" borderId="0" xfId="0" applyNumberFormat="1" applyFont="1" applyFill="1" applyProtection="1">
      <protection hidden="1"/>
    </xf>
    <xf numFmtId="0" fontId="63" fillId="0" borderId="0" xfId="0" applyFont="1" applyProtection="1">
      <protection hidden="1"/>
    </xf>
    <xf numFmtId="166" fontId="52" fillId="0" borderId="0" xfId="0" applyNumberFormat="1" applyFont="1" applyProtection="1">
      <protection hidden="1"/>
    </xf>
    <xf numFmtId="166" fontId="0" fillId="8" borderId="0" xfId="0" applyNumberFormat="1" applyFill="1" applyAlignment="1" applyProtection="1">
      <alignment horizontal="right" indent="1"/>
      <protection hidden="1"/>
    </xf>
    <xf numFmtId="166" fontId="52" fillId="0" borderId="0" xfId="0" applyNumberFormat="1" applyFont="1" applyAlignment="1" applyProtection="1">
      <alignment horizontal="right" indent="1"/>
      <protection hidden="1"/>
    </xf>
    <xf numFmtId="166" fontId="52" fillId="8" borderId="0" xfId="0" applyNumberFormat="1" applyFont="1" applyFill="1" applyAlignment="1" applyProtection="1">
      <alignment horizontal="right" indent="1"/>
      <protection hidden="1"/>
    </xf>
    <xf numFmtId="166" fontId="45" fillId="8" borderId="0" xfId="0" applyNumberFormat="1" applyFont="1" applyFill="1" applyAlignment="1" applyProtection="1">
      <alignment horizontal="right" indent="1"/>
      <protection hidden="1"/>
    </xf>
    <xf numFmtId="166" fontId="0" fillId="0" borderId="0" xfId="0" applyNumberFormat="1" applyAlignment="1" applyProtection="1">
      <alignment horizontal="right" indent="1"/>
      <protection hidden="1"/>
    </xf>
    <xf numFmtId="0" fontId="56" fillId="2" borderId="18" xfId="0" applyFont="1" applyFill="1" applyBorder="1" applyAlignment="1" applyProtection="1">
      <alignment horizontal="left"/>
      <protection hidden="1"/>
    </xf>
    <xf numFmtId="166" fontId="57" fillId="8" borderId="12" xfId="0" applyNumberFormat="1" applyFont="1" applyFill="1" applyBorder="1" applyAlignment="1" applyProtection="1">
      <alignment horizontal="right" indent="1"/>
      <protection hidden="1"/>
    </xf>
    <xf numFmtId="166" fontId="57" fillId="7" borderId="13" xfId="0" applyNumberFormat="1" applyFont="1" applyFill="1" applyBorder="1" applyAlignment="1" applyProtection="1">
      <alignment horizontal="right" indent="1"/>
      <protection hidden="1"/>
    </xf>
    <xf numFmtId="166" fontId="57" fillId="8" borderId="18" xfId="0" applyNumberFormat="1" applyFont="1" applyFill="1" applyBorder="1" applyProtection="1">
      <protection hidden="1"/>
    </xf>
    <xf numFmtId="166" fontId="57" fillId="7" borderId="13" xfId="0" applyNumberFormat="1" applyFont="1" applyFill="1" applyBorder="1" applyProtection="1">
      <protection hidden="1"/>
    </xf>
    <xf numFmtId="166" fontId="56" fillId="8" borderId="0" xfId="0" applyNumberFormat="1" applyFont="1" applyFill="1" applyAlignment="1" applyProtection="1">
      <alignment horizontal="left"/>
      <protection hidden="1"/>
    </xf>
    <xf numFmtId="166" fontId="45" fillId="8" borderId="0" xfId="0" applyNumberFormat="1" applyFont="1" applyFill="1" applyAlignment="1" applyProtection="1">
      <alignment horizontal="right"/>
      <protection hidden="1"/>
    </xf>
    <xf numFmtId="166" fontId="51" fillId="0" borderId="0" xfId="0" applyNumberFormat="1" applyFont="1" applyAlignment="1" applyProtection="1">
      <alignment horizontal="right"/>
      <protection hidden="1"/>
    </xf>
    <xf numFmtId="166" fontId="51" fillId="8" borderId="0" xfId="0" applyNumberFormat="1" applyFont="1" applyFill="1" applyAlignment="1" applyProtection="1">
      <alignment horizontal="right"/>
      <protection hidden="1"/>
    </xf>
    <xf numFmtId="0" fontId="55" fillId="0" borderId="0" xfId="0" applyFont="1" applyProtection="1">
      <protection hidden="1"/>
    </xf>
    <xf numFmtId="0" fontId="58" fillId="0" borderId="0" xfId="0" applyFont="1" applyAlignment="1" applyProtection="1">
      <alignment horizontal="left"/>
      <protection hidden="1"/>
    </xf>
    <xf numFmtId="0" fontId="56" fillId="0" borderId="0" xfId="0" applyFont="1" applyAlignment="1" applyProtection="1">
      <alignment horizontal="right"/>
      <protection hidden="1"/>
    </xf>
    <xf numFmtId="0" fontId="56" fillId="8" borderId="0" xfId="0" applyFont="1" applyFill="1" applyAlignment="1" applyProtection="1">
      <alignment horizontal="right"/>
      <protection hidden="1"/>
    </xf>
    <xf numFmtId="4" fontId="56" fillId="0" borderId="0" xfId="0" applyNumberFormat="1" applyFont="1" applyAlignment="1" applyProtection="1">
      <alignment horizontal="right"/>
      <protection hidden="1"/>
    </xf>
    <xf numFmtId="164" fontId="52" fillId="7" borderId="15" xfId="0" applyNumberFormat="1" applyFont="1" applyFill="1" applyBorder="1" applyAlignment="1" applyProtection="1">
      <alignment horizontal="right" indent="1"/>
      <protection hidden="1"/>
    </xf>
    <xf numFmtId="0" fontId="51" fillId="8" borderId="0" xfId="0" applyFont="1" applyFill="1" applyAlignment="1" applyProtection="1">
      <alignment horizontal="right"/>
      <protection hidden="1"/>
    </xf>
    <xf numFmtId="164" fontId="52" fillId="8" borderId="10" xfId="0" applyNumberFormat="1" applyFont="1" applyFill="1" applyBorder="1" applyAlignment="1" applyProtection="1">
      <alignment horizontal="right"/>
      <protection hidden="1"/>
    </xf>
    <xf numFmtId="164" fontId="0" fillId="0" borderId="0" xfId="0" applyNumberFormat="1" applyProtection="1">
      <protection hidden="1"/>
    </xf>
    <xf numFmtId="0" fontId="57" fillId="0" borderId="0" xfId="0" applyFont="1" applyAlignment="1" applyProtection="1">
      <alignment horizontal="left"/>
      <protection hidden="1"/>
    </xf>
    <xf numFmtId="0" fontId="67" fillId="0" borderId="0" xfId="0" applyFont="1" applyProtection="1">
      <protection hidden="1"/>
    </xf>
    <xf numFmtId="0" fontId="102" fillId="0" borderId="0" xfId="0" applyFont="1" applyAlignment="1" applyProtection="1">
      <alignment horizontal="left"/>
      <protection hidden="1"/>
    </xf>
    <xf numFmtId="0" fontId="51" fillId="0" borderId="0" xfId="0" applyFont="1" applyAlignment="1" applyProtection="1">
      <alignment horizontal="left"/>
      <protection hidden="1"/>
    </xf>
    <xf numFmtId="164" fontId="103" fillId="0" borderId="0" xfId="0" applyNumberFormat="1" applyFont="1" applyAlignment="1" applyProtection="1">
      <alignment horizontal="right" indent="1"/>
      <protection hidden="1"/>
    </xf>
    <xf numFmtId="0" fontId="51" fillId="0" borderId="7" xfId="0" applyFont="1" applyBorder="1" applyProtection="1">
      <protection hidden="1"/>
    </xf>
    <xf numFmtId="0" fontId="51" fillId="0" borderId="7" xfId="0" applyFont="1" applyBorder="1" applyAlignment="1" applyProtection="1">
      <alignment horizontal="right"/>
      <protection hidden="1"/>
    </xf>
    <xf numFmtId="0" fontId="59" fillId="0" borderId="0" xfId="1" applyFill="1" applyBorder="1" applyAlignment="1" applyProtection="1">
      <alignment horizontal="center" wrapText="1"/>
      <protection hidden="1"/>
    </xf>
    <xf numFmtId="0" fontId="59" fillId="0" borderId="0" xfId="1" applyFill="1" applyBorder="1" applyAlignment="1" applyProtection="1">
      <protection hidden="1"/>
    </xf>
    <xf numFmtId="0" fontId="59" fillId="0" borderId="0" xfId="1" applyBorder="1" applyAlignment="1" applyProtection="1">
      <protection hidden="1"/>
    </xf>
    <xf numFmtId="0" fontId="69" fillId="0" borderId="0" xfId="0" applyFont="1" applyProtection="1">
      <protection hidden="1"/>
    </xf>
    <xf numFmtId="0" fontId="108" fillId="0" borderId="0" xfId="0" applyFont="1" applyProtection="1">
      <protection hidden="1"/>
    </xf>
    <xf numFmtId="0" fontId="0" fillId="6" borderId="4" xfId="0" applyFill="1" applyBorder="1" applyProtection="1">
      <protection hidden="1"/>
    </xf>
    <xf numFmtId="0" fontId="0" fillId="6" borderId="0" xfId="0" applyFill="1" applyProtection="1">
      <protection hidden="1"/>
    </xf>
    <xf numFmtId="0" fontId="36" fillId="6" borderId="0" xfId="0" applyFont="1" applyFill="1" applyProtection="1">
      <protection hidden="1"/>
    </xf>
    <xf numFmtId="0" fontId="36" fillId="6" borderId="0" xfId="0" applyFont="1" applyFill="1" applyAlignment="1" applyProtection="1">
      <alignment horizontal="right"/>
      <protection hidden="1"/>
    </xf>
    <xf numFmtId="0" fontId="51" fillId="7" borderId="0" xfId="0" applyFont="1" applyFill="1" applyAlignment="1" applyProtection="1">
      <alignment horizontal="left"/>
      <protection hidden="1"/>
    </xf>
    <xf numFmtId="0" fontId="36" fillId="7" borderId="0" xfId="0" applyFont="1" applyFill="1" applyProtection="1">
      <protection hidden="1"/>
    </xf>
    <xf numFmtId="0" fontId="57" fillId="6" borderId="0" xfId="0" applyFont="1" applyFill="1" applyAlignment="1" applyProtection="1">
      <alignment horizontal="right"/>
      <protection hidden="1"/>
    </xf>
    <xf numFmtId="0" fontId="36" fillId="7" borderId="0" xfId="0" applyFont="1" applyFill="1" applyAlignment="1" applyProtection="1">
      <alignment horizontal="left"/>
      <protection hidden="1"/>
    </xf>
    <xf numFmtId="0" fontId="34" fillId="6" borderId="0" xfId="0" applyFont="1" applyFill="1" applyAlignment="1" applyProtection="1">
      <alignment horizontal="left"/>
      <protection hidden="1"/>
    </xf>
    <xf numFmtId="0" fontId="34" fillId="6" borderId="0" xfId="0" applyFont="1" applyFill="1" applyProtection="1">
      <protection hidden="1"/>
    </xf>
    <xf numFmtId="0" fontId="51" fillId="6" borderId="0" xfId="0" applyFont="1" applyFill="1" applyProtection="1">
      <protection hidden="1"/>
    </xf>
    <xf numFmtId="0" fontId="51" fillId="7" borderId="0" xfId="0" applyFont="1" applyFill="1" applyProtection="1">
      <protection hidden="1"/>
    </xf>
    <xf numFmtId="0" fontId="0" fillId="6" borderId="5" xfId="0" applyFill="1" applyBorder="1" applyProtection="1">
      <protection hidden="1"/>
    </xf>
    <xf numFmtId="0" fontId="36" fillId="0" borderId="0" xfId="0" applyFont="1" applyProtection="1">
      <protection hidden="1"/>
    </xf>
    <xf numFmtId="0" fontId="62" fillId="6" borderId="0" xfId="0" applyFont="1" applyFill="1" applyProtection="1">
      <protection hidden="1"/>
    </xf>
    <xf numFmtId="0" fontId="36" fillId="6" borderId="4" xfId="0" applyFont="1" applyFill="1" applyBorder="1" applyProtection="1">
      <protection hidden="1"/>
    </xf>
    <xf numFmtId="0" fontId="52" fillId="0" borderId="18" xfId="0" applyFont="1" applyBorder="1" applyAlignment="1" applyProtection="1">
      <alignment horizontal="center" vertical="center"/>
      <protection hidden="1"/>
    </xf>
    <xf numFmtId="14" fontId="51" fillId="7" borderId="18" xfId="0" applyNumberFormat="1" applyFont="1" applyFill="1" applyBorder="1" applyAlignment="1" applyProtection="1">
      <alignment vertical="center"/>
      <protection hidden="1"/>
    </xf>
    <xf numFmtId="0" fontId="51" fillId="0" borderId="18" xfId="0" applyFont="1" applyBorder="1" applyAlignment="1" applyProtection="1">
      <alignment horizontal="center" vertical="center"/>
      <protection hidden="1"/>
    </xf>
    <xf numFmtId="0" fontId="36" fillId="0" borderId="13" xfId="0" applyFont="1" applyBorder="1" applyAlignment="1" applyProtection="1">
      <alignment vertical="center"/>
      <protection hidden="1"/>
    </xf>
    <xf numFmtId="0" fontId="51" fillId="19" borderId="14" xfId="0" applyFont="1" applyFill="1" applyBorder="1" applyProtection="1">
      <protection hidden="1"/>
    </xf>
    <xf numFmtId="0" fontId="51" fillId="19" borderId="14" xfId="0" applyFont="1" applyFill="1" applyBorder="1" applyAlignment="1" applyProtection="1">
      <alignment horizontal="center"/>
      <protection hidden="1"/>
    </xf>
    <xf numFmtId="0" fontId="36" fillId="0" borderId="14" xfId="0" applyFont="1" applyBorder="1" applyProtection="1">
      <protection hidden="1"/>
    </xf>
    <xf numFmtId="0" fontId="36" fillId="0" borderId="14" xfId="0" applyFont="1" applyBorder="1" applyAlignment="1" applyProtection="1">
      <alignment horizontal="center"/>
      <protection hidden="1"/>
    </xf>
    <xf numFmtId="0" fontId="36" fillId="25" borderId="4" xfId="0" applyFont="1" applyFill="1" applyBorder="1" applyProtection="1">
      <protection hidden="1"/>
    </xf>
    <xf numFmtId="0" fontId="36" fillId="6" borderId="14" xfId="0" applyFont="1" applyFill="1" applyBorder="1" applyAlignment="1" applyProtection="1">
      <alignment horizontal="center"/>
      <protection hidden="1"/>
    </xf>
    <xf numFmtId="0" fontId="51" fillId="19" borderId="20" xfId="0" applyFont="1" applyFill="1" applyBorder="1" applyAlignment="1" applyProtection="1">
      <alignment horizontal="center"/>
      <protection hidden="1"/>
    </xf>
    <xf numFmtId="182" fontId="36" fillId="0" borderId="14" xfId="0" applyNumberFormat="1" applyFont="1" applyBorder="1" applyAlignment="1" applyProtection="1">
      <alignment horizontal="center"/>
      <protection hidden="1"/>
    </xf>
    <xf numFmtId="0" fontId="51" fillId="16" borderId="14" xfId="0" applyFont="1" applyFill="1" applyBorder="1" applyAlignment="1" applyProtection="1">
      <alignment wrapText="1"/>
      <protection hidden="1"/>
    </xf>
    <xf numFmtId="0" fontId="51" fillId="19" borderId="14" xfId="0" applyFont="1" applyFill="1" applyBorder="1" applyAlignment="1" applyProtection="1">
      <alignment wrapText="1"/>
      <protection hidden="1"/>
    </xf>
    <xf numFmtId="174" fontId="36" fillId="6" borderId="14" xfId="0" applyNumberFormat="1" applyFont="1" applyFill="1" applyBorder="1" applyAlignment="1" applyProtection="1">
      <alignment horizontal="center"/>
      <protection hidden="1"/>
    </xf>
    <xf numFmtId="0" fontId="0" fillId="6" borderId="2" xfId="0" applyFill="1" applyBorder="1" applyProtection="1">
      <protection hidden="1"/>
    </xf>
    <xf numFmtId="182" fontId="36" fillId="6" borderId="0" xfId="0" applyNumberFormat="1" applyFont="1" applyFill="1" applyAlignment="1" applyProtection="1">
      <alignment horizontal="center"/>
      <protection hidden="1"/>
    </xf>
    <xf numFmtId="0" fontId="51" fillId="16" borderId="7" xfId="0" applyFont="1" applyFill="1" applyBorder="1" applyProtection="1">
      <protection hidden="1"/>
    </xf>
    <xf numFmtId="0" fontId="51" fillId="2" borderId="14" xfId="0" applyFont="1" applyFill="1" applyBorder="1" applyProtection="1">
      <protection hidden="1"/>
    </xf>
    <xf numFmtId="0" fontId="51" fillId="2" borderId="14" xfId="0" applyFont="1" applyFill="1" applyBorder="1" applyAlignment="1" applyProtection="1">
      <alignment wrapText="1"/>
      <protection hidden="1"/>
    </xf>
    <xf numFmtId="175" fontId="36" fillId="6" borderId="14" xfId="0" applyNumberFormat="1" applyFont="1" applyFill="1" applyBorder="1" applyAlignment="1" applyProtection="1">
      <alignment horizontal="center"/>
      <protection hidden="1"/>
    </xf>
    <xf numFmtId="176" fontId="36" fillId="6" borderId="14" xfId="0" applyNumberFormat="1" applyFont="1" applyFill="1" applyBorder="1" applyProtection="1">
      <protection hidden="1"/>
    </xf>
    <xf numFmtId="0" fontId="0" fillId="25" borderId="0" xfId="0" applyFill="1" applyProtection="1">
      <protection hidden="1"/>
    </xf>
    <xf numFmtId="0" fontId="51" fillId="16" borderId="14" xfId="0" applyFont="1" applyFill="1" applyBorder="1" applyAlignment="1" applyProtection="1">
      <alignment horizontal="center"/>
      <protection hidden="1"/>
    </xf>
    <xf numFmtId="0" fontId="51" fillId="2" borderId="14" xfId="0" applyFont="1" applyFill="1" applyBorder="1" applyAlignment="1" applyProtection="1">
      <alignment horizontal="center"/>
      <protection hidden="1"/>
    </xf>
    <xf numFmtId="44" fontId="51" fillId="0" borderId="14" xfId="0" applyNumberFormat="1" applyFont="1" applyBorder="1" applyAlignment="1" applyProtection="1">
      <alignment horizontal="center"/>
      <protection hidden="1"/>
    </xf>
    <xf numFmtId="0" fontId="0" fillId="25" borderId="4" xfId="0" applyFill="1" applyBorder="1" applyProtection="1">
      <protection hidden="1"/>
    </xf>
    <xf numFmtId="0" fontId="36" fillId="6" borderId="14" xfId="0" applyFont="1" applyFill="1" applyBorder="1" applyProtection="1">
      <protection hidden="1"/>
    </xf>
    <xf numFmtId="44" fontId="51" fillId="6" borderId="14" xfId="0" applyNumberFormat="1" applyFont="1" applyFill="1" applyBorder="1" applyAlignment="1" applyProtection="1">
      <alignment horizontal="center"/>
      <protection hidden="1"/>
    </xf>
    <xf numFmtId="0" fontId="51" fillId="6" borderId="14" xfId="0" applyFont="1" applyFill="1" applyBorder="1" applyAlignment="1" applyProtection="1">
      <alignment horizontal="center"/>
      <protection hidden="1"/>
    </xf>
    <xf numFmtId="44" fontId="51" fillId="0" borderId="4" xfId="0" applyNumberFormat="1" applyFont="1" applyBorder="1" applyAlignment="1" applyProtection="1">
      <alignment horizontal="center"/>
      <protection hidden="1"/>
    </xf>
    <xf numFmtId="0" fontId="56" fillId="6" borderId="0" xfId="0" applyFont="1" applyFill="1" applyAlignment="1" applyProtection="1">
      <alignment horizontal="left" vertical="top"/>
      <protection hidden="1"/>
    </xf>
    <xf numFmtId="0" fontId="35" fillId="6" borderId="0" xfId="0" applyFont="1" applyFill="1" applyAlignment="1" applyProtection="1">
      <alignment horizontal="left" vertical="top"/>
      <protection hidden="1"/>
    </xf>
    <xf numFmtId="0" fontId="48" fillId="6" borderId="0" xfId="0" applyFont="1" applyFill="1" applyProtection="1">
      <protection hidden="1"/>
    </xf>
    <xf numFmtId="0" fontId="0" fillId="6" borderId="7" xfId="0" applyFill="1" applyBorder="1" applyProtection="1">
      <protection hidden="1"/>
    </xf>
    <xf numFmtId="0" fontId="47" fillId="6" borderId="7" xfId="0" applyFont="1" applyFill="1" applyBorder="1" applyProtection="1">
      <protection hidden="1"/>
    </xf>
    <xf numFmtId="0" fontId="68" fillId="6" borderId="0" xfId="0" applyFont="1" applyFill="1" applyProtection="1">
      <protection hidden="1"/>
    </xf>
    <xf numFmtId="0" fontId="48" fillId="6" borderId="7" xfId="0" applyFont="1" applyFill="1" applyBorder="1" applyProtection="1">
      <protection hidden="1"/>
    </xf>
    <xf numFmtId="14" fontId="47" fillId="0" borderId="0" xfId="0" applyNumberFormat="1" applyFont="1"/>
    <xf numFmtId="14" fontId="63" fillId="0" borderId="0" xfId="0" applyNumberFormat="1" applyFont="1"/>
    <xf numFmtId="9" fontId="0" fillId="0" borderId="0" xfId="0" applyNumberFormat="1"/>
    <xf numFmtId="0" fontId="48" fillId="2" borderId="4" xfId="0" applyFont="1" applyFill="1" applyBorder="1"/>
    <xf numFmtId="0" fontId="51" fillId="2" borderId="4" xfId="0" applyFont="1" applyFill="1" applyBorder="1"/>
    <xf numFmtId="0" fontId="51" fillId="0" borderId="4" xfId="0" applyFont="1" applyBorder="1"/>
    <xf numFmtId="178" fontId="43" fillId="0" borderId="19" xfId="0" applyNumberFormat="1" applyFont="1" applyBorder="1"/>
    <xf numFmtId="0" fontId="43" fillId="0" borderId="19" xfId="0" applyFont="1" applyBorder="1"/>
    <xf numFmtId="0" fontId="41" fillId="0" borderId="4" xfId="0" applyFont="1" applyBorder="1"/>
    <xf numFmtId="0" fontId="0" fillId="0" borderId="19" xfId="0" applyBorder="1"/>
    <xf numFmtId="0" fontId="42" fillId="0" borderId="4" xfId="0" applyFont="1" applyBorder="1"/>
    <xf numFmtId="0" fontId="75" fillId="0" borderId="6" xfId="0" applyFont="1" applyBorder="1"/>
    <xf numFmtId="0" fontId="51" fillId="0" borderId="13" xfId="0" applyFont="1" applyBorder="1" applyAlignment="1">
      <alignment horizontal="center"/>
    </xf>
    <xf numFmtId="44" fontId="51" fillId="16" borderId="109" xfId="2" applyFont="1" applyFill="1" applyBorder="1" applyAlignment="1" applyProtection="1">
      <alignment horizontal="center"/>
    </xf>
    <xf numFmtId="0" fontId="121" fillId="31" borderId="0" xfId="0" applyFont="1" applyFill="1"/>
    <xf numFmtId="0" fontId="71" fillId="0" borderId="0" xfId="0" applyFont="1" applyAlignment="1">
      <alignment wrapText="1"/>
    </xf>
    <xf numFmtId="0" fontId="0" fillId="0" borderId="0" xfId="0" applyAlignment="1">
      <alignment wrapText="1" shrinkToFit="1"/>
    </xf>
    <xf numFmtId="44" fontId="36" fillId="18" borderId="109" xfId="2" applyFont="1" applyFill="1" applyBorder="1" applyProtection="1"/>
    <xf numFmtId="44" fontId="36" fillId="18" borderId="107" xfId="2" applyFont="1" applyFill="1" applyBorder="1" applyProtection="1"/>
    <xf numFmtId="44" fontId="36" fillId="18" borderId="100" xfId="2" applyFont="1" applyFill="1" applyBorder="1" applyProtection="1"/>
    <xf numFmtId="44" fontId="51" fillId="16" borderId="73" xfId="2" applyFont="1" applyFill="1" applyBorder="1" applyProtection="1"/>
    <xf numFmtId="44" fontId="36" fillId="18" borderId="14" xfId="2" applyFont="1" applyFill="1" applyBorder="1" applyProtection="1"/>
    <xf numFmtId="44" fontId="51" fillId="18" borderId="88" xfId="2" applyFont="1" applyFill="1" applyBorder="1" applyProtection="1"/>
    <xf numFmtId="44" fontId="36" fillId="18" borderId="104" xfId="2" applyFont="1" applyFill="1" applyBorder="1" applyProtection="1"/>
    <xf numFmtId="44" fontId="36" fillId="18" borderId="8" xfId="2" applyFont="1" applyFill="1" applyBorder="1" applyProtection="1"/>
    <xf numFmtId="44" fontId="51" fillId="16" borderId="91" xfId="2" applyFont="1" applyFill="1" applyBorder="1" applyProtection="1"/>
    <xf numFmtId="44" fontId="36" fillId="21" borderId="108" xfId="2" applyFont="1" applyFill="1" applyBorder="1" applyProtection="1"/>
    <xf numFmtId="44" fontId="36" fillId="23" borderId="106" xfId="2" applyFont="1" applyFill="1" applyBorder="1" applyProtection="1"/>
    <xf numFmtId="44" fontId="36" fillId="7" borderId="103" xfId="2" applyFont="1" applyFill="1" applyBorder="1" applyProtection="1"/>
    <xf numFmtId="44" fontId="36" fillId="21" borderId="99" xfId="2" applyFont="1" applyFill="1" applyBorder="1" applyProtection="1"/>
    <xf numFmtId="44" fontId="36" fillId="23" borderId="102" xfId="2" applyFont="1" applyFill="1" applyBorder="1" applyProtection="1"/>
    <xf numFmtId="44" fontId="36" fillId="7" borderId="6" xfId="2" applyFont="1" applyFill="1" applyBorder="1" applyProtection="1"/>
    <xf numFmtId="0" fontId="71" fillId="0" borderId="0" xfId="0" applyFont="1" applyAlignment="1">
      <alignment horizontal="left" vertical="top" wrapText="1"/>
    </xf>
    <xf numFmtId="0" fontId="71" fillId="0" borderId="0" xfId="0" applyFont="1" applyAlignment="1">
      <alignment vertical="top" wrapText="1"/>
    </xf>
    <xf numFmtId="0" fontId="52" fillId="6" borderId="0" xfId="0" applyFont="1" applyFill="1" applyAlignment="1">
      <alignment wrapText="1"/>
    </xf>
    <xf numFmtId="0" fontId="75" fillId="0" borderId="0" xfId="0" applyFont="1" applyAlignment="1">
      <alignment wrapText="1"/>
    </xf>
    <xf numFmtId="182" fontId="36" fillId="6" borderId="14" xfId="0" applyNumberFormat="1" applyFont="1" applyFill="1" applyBorder="1" applyAlignment="1" applyProtection="1">
      <alignment horizontal="center"/>
      <protection hidden="1"/>
    </xf>
    <xf numFmtId="10" fontId="36" fillId="6" borderId="13" xfId="0" applyNumberFormat="1" applyFont="1" applyFill="1" applyBorder="1" applyAlignment="1" applyProtection="1">
      <alignment horizontal="center"/>
      <protection hidden="1"/>
    </xf>
    <xf numFmtId="0" fontId="57" fillId="32" borderId="0" xfId="18" applyFill="1" applyAlignment="1">
      <alignment vertical="center" wrapText="1"/>
    </xf>
    <xf numFmtId="0" fontId="52" fillId="0" borderId="14" xfId="18" applyFont="1" applyBorder="1" applyAlignment="1">
      <alignment horizontal="center" vertical="center" wrapText="1"/>
    </xf>
    <xf numFmtId="14" fontId="30" fillId="0" borderId="122" xfId="0" applyNumberFormat="1" applyFont="1" applyBorder="1" applyAlignment="1">
      <alignment horizontal="center" vertical="top" wrapText="1"/>
    </xf>
    <xf numFmtId="0" fontId="30" fillId="0" borderId="122" xfId="0" applyFont="1" applyBorder="1" applyAlignment="1">
      <alignment vertical="top" wrapText="1"/>
    </xf>
    <xf numFmtId="0" fontId="30" fillId="0" borderId="0" xfId="0" applyFont="1"/>
    <xf numFmtId="14" fontId="30" fillId="0" borderId="21" xfId="0" applyNumberFormat="1" applyFont="1" applyBorder="1" applyAlignment="1">
      <alignment horizontal="center" vertical="top" wrapText="1"/>
    </xf>
    <xf numFmtId="0" fontId="30" fillId="0" borderId="21" xfId="0" applyFont="1" applyBorder="1" applyAlignment="1">
      <alignment vertical="top" wrapText="1"/>
    </xf>
    <xf numFmtId="0" fontId="30" fillId="0" borderId="14" xfId="0" applyFont="1" applyBorder="1" applyAlignment="1">
      <alignment vertical="top" wrapText="1"/>
    </xf>
    <xf numFmtId="0" fontId="29" fillId="0" borderId="122" xfId="0" applyFont="1" applyBorder="1" applyAlignment="1">
      <alignment vertical="top" wrapText="1"/>
    </xf>
    <xf numFmtId="0" fontId="28" fillId="2" borderId="13" xfId="0" applyFont="1" applyFill="1" applyBorder="1" applyAlignment="1" applyProtection="1">
      <alignment horizontal="center"/>
      <protection hidden="1"/>
    </xf>
    <xf numFmtId="0" fontId="28" fillId="2" borderId="18" xfId="0" applyFont="1" applyFill="1" applyBorder="1" applyAlignment="1" applyProtection="1">
      <alignment horizontal="center"/>
      <protection hidden="1"/>
    </xf>
    <xf numFmtId="0" fontId="27" fillId="0" borderId="14" xfId="0" applyFont="1" applyBorder="1" applyAlignment="1">
      <alignment vertical="top" wrapText="1"/>
    </xf>
    <xf numFmtId="44" fontId="0" fillId="0" borderId="4" xfId="2" applyFont="1" applyBorder="1"/>
    <xf numFmtId="0" fontId="26" fillId="0" borderId="14" xfId="0" applyFont="1" applyBorder="1" applyAlignment="1">
      <alignment vertical="top" wrapText="1"/>
    </xf>
    <xf numFmtId="0" fontId="48" fillId="2" borderId="2" xfId="0" applyFont="1" applyFill="1" applyBorder="1"/>
    <xf numFmtId="0" fontId="25" fillId="0" borderId="14" xfId="0" applyFont="1" applyBorder="1" applyAlignment="1">
      <alignment vertical="top" wrapText="1"/>
    </xf>
    <xf numFmtId="44" fontId="34" fillId="6" borderId="14" xfId="2" applyFont="1" applyFill="1" applyBorder="1" applyProtection="1"/>
    <xf numFmtId="0" fontId="24" fillId="0" borderId="123" xfId="0" applyFont="1" applyBorder="1" applyAlignment="1">
      <alignment vertical="top" wrapText="1"/>
    </xf>
    <xf numFmtId="0" fontId="30" fillId="0" borderId="123" xfId="0" applyFont="1" applyBorder="1" applyAlignment="1">
      <alignment vertical="top" wrapText="1"/>
    </xf>
    <xf numFmtId="0" fontId="24" fillId="0" borderId="124" xfId="0" applyFont="1" applyBorder="1" applyAlignment="1">
      <alignment vertical="top" wrapText="1"/>
    </xf>
    <xf numFmtId="0" fontId="30" fillId="0" borderId="124" xfId="0" applyFont="1" applyBorder="1" applyAlignment="1">
      <alignment vertical="top" wrapText="1"/>
    </xf>
    <xf numFmtId="0" fontId="30" fillId="0" borderId="125" xfId="0" applyFont="1" applyBorder="1" applyAlignment="1">
      <alignment vertical="top" wrapText="1"/>
    </xf>
    <xf numFmtId="0" fontId="24" fillId="0" borderId="20" xfId="0" applyFont="1" applyBorder="1" applyAlignment="1">
      <alignment vertical="top" wrapText="1"/>
    </xf>
    <xf numFmtId="0" fontId="30" fillId="0" borderId="126" xfId="0" applyFont="1" applyBorder="1" applyAlignment="1">
      <alignment vertical="top" wrapText="1"/>
    </xf>
    <xf numFmtId="165" fontId="36" fillId="18" borderId="108" xfId="0" applyNumberFormat="1" applyFont="1" applyFill="1" applyBorder="1"/>
    <xf numFmtId="165" fontId="36" fillId="18" borderId="101" xfId="0" applyNumberFormat="1" applyFont="1" applyFill="1" applyBorder="1"/>
    <xf numFmtId="165" fontId="52" fillId="18" borderId="73" xfId="0" applyNumberFormat="1" applyFont="1" applyFill="1" applyBorder="1"/>
    <xf numFmtId="0" fontId="23" fillId="0" borderId="126" xfId="0" applyFont="1" applyBorder="1" applyAlignment="1">
      <alignment vertical="top" wrapText="1"/>
    </xf>
    <xf numFmtId="0" fontId="23" fillId="0" borderId="124" xfId="0" applyFont="1" applyBorder="1" applyAlignment="1">
      <alignment vertical="top" wrapText="1"/>
    </xf>
    <xf numFmtId="0" fontId="22" fillId="0" borderId="20" xfId="0" applyFont="1" applyBorder="1" applyAlignment="1">
      <alignment vertical="top" wrapText="1"/>
    </xf>
    <xf numFmtId="0" fontId="22" fillId="0" borderId="125" xfId="0" applyFont="1" applyBorder="1" applyAlignment="1">
      <alignment vertical="top" wrapText="1"/>
    </xf>
    <xf numFmtId="0" fontId="22" fillId="7" borderId="18" xfId="0" applyFont="1" applyFill="1" applyBorder="1" applyAlignment="1" applyProtection="1">
      <alignment horizontal="left"/>
      <protection hidden="1"/>
    </xf>
    <xf numFmtId="0" fontId="34" fillId="6" borderId="0" xfId="0" applyFont="1" applyFill="1" applyAlignment="1">
      <alignment horizontal="center"/>
    </xf>
    <xf numFmtId="0" fontId="21" fillId="0" borderId="14" xfId="0" applyFont="1" applyBorder="1" applyAlignment="1">
      <alignment vertical="top" wrapText="1"/>
    </xf>
    <xf numFmtId="0" fontId="21" fillId="0" borderId="0" xfId="0" applyFont="1"/>
    <xf numFmtId="0" fontId="56" fillId="25" borderId="0" xfId="0" applyFont="1" applyFill="1" applyProtection="1">
      <protection hidden="1"/>
    </xf>
    <xf numFmtId="0" fontId="116" fillId="25" borderId="0" xfId="0" applyFont="1" applyFill="1" applyProtection="1">
      <protection hidden="1"/>
    </xf>
    <xf numFmtId="0" fontId="20" fillId="7" borderId="14" xfId="0" applyFont="1" applyFill="1" applyBorder="1" applyAlignment="1">
      <alignment horizontal="center" vertical="center"/>
    </xf>
    <xf numFmtId="165" fontId="122" fillId="6" borderId="0" xfId="0" applyNumberFormat="1" applyFont="1" applyFill="1"/>
    <xf numFmtId="165" fontId="36" fillId="17" borderId="98" xfId="3" applyNumberFormat="1" applyFont="1" applyFill="1" applyBorder="1" applyProtection="1">
      <protection locked="0"/>
    </xf>
    <xf numFmtId="0" fontId="56" fillId="6" borderId="0" xfId="0" applyFont="1" applyFill="1"/>
    <xf numFmtId="44" fontId="56" fillId="6" borderId="0" xfId="2" applyFont="1" applyFill="1" applyBorder="1"/>
    <xf numFmtId="44" fontId="0" fillId="6" borderId="2" xfId="0" applyNumberFormat="1" applyFill="1" applyBorder="1"/>
    <xf numFmtId="0" fontId="53" fillId="23" borderId="0" xfId="0" applyFont="1" applyFill="1" applyAlignment="1">
      <alignment wrapText="1"/>
    </xf>
    <xf numFmtId="165" fontId="36" fillId="6" borderId="0" xfId="0" applyNumberFormat="1" applyFont="1" applyFill="1"/>
    <xf numFmtId="0" fontId="123" fillId="28" borderId="21" xfId="0" applyFont="1" applyFill="1" applyBorder="1" applyAlignment="1">
      <alignment horizontal="left" wrapText="1"/>
    </xf>
    <xf numFmtId="186" fontId="123" fillId="28" borderId="21" xfId="2" applyNumberFormat="1" applyFont="1" applyFill="1" applyBorder="1" applyAlignment="1" applyProtection="1">
      <alignment horizontal="center" vertical="center"/>
    </xf>
    <xf numFmtId="0" fontId="0" fillId="34" borderId="9" xfId="0" applyFill="1" applyBorder="1"/>
    <xf numFmtId="44" fontId="36" fillId="6" borderId="0" xfId="0" applyNumberFormat="1" applyFont="1" applyFill="1"/>
    <xf numFmtId="185" fontId="36" fillId="6" borderId="0" xfId="0" applyNumberFormat="1" applyFont="1" applyFill="1"/>
    <xf numFmtId="185" fontId="68" fillId="6" borderId="94" xfId="0" applyNumberFormat="1" applyFont="1" applyFill="1" applyBorder="1"/>
    <xf numFmtId="44" fontId="36" fillId="6" borderId="0" xfId="2" applyFont="1" applyFill="1"/>
    <xf numFmtId="44" fontId="48" fillId="6" borderId="5" xfId="0" applyNumberFormat="1" applyFont="1" applyFill="1" applyBorder="1"/>
    <xf numFmtId="44" fontId="36" fillId="6" borderId="7" xfId="0" applyNumberFormat="1" applyFont="1" applyFill="1" applyBorder="1"/>
    <xf numFmtId="185" fontId="48" fillId="6" borderId="5" xfId="0" applyNumberFormat="1" applyFont="1" applyFill="1" applyBorder="1"/>
    <xf numFmtId="44" fontId="61" fillId="16" borderId="21" xfId="2" applyFont="1" applyFill="1" applyBorder="1" applyProtection="1"/>
    <xf numFmtId="44" fontId="61" fillId="16" borderId="14" xfId="2" applyFont="1" applyFill="1" applyBorder="1" applyProtection="1"/>
    <xf numFmtId="44" fontId="61" fillId="16" borderId="73" xfId="0" applyNumberFormat="1" applyFont="1" applyFill="1" applyBorder="1"/>
    <xf numFmtId="44" fontId="91" fillId="16" borderId="21" xfId="2" applyFont="1" applyFill="1" applyBorder="1" applyProtection="1"/>
    <xf numFmtId="44" fontId="91" fillId="16" borderId="14" xfId="2" applyFont="1" applyFill="1" applyBorder="1" applyProtection="1"/>
    <xf numFmtId="44" fontId="91" fillId="16" borderId="73" xfId="0" applyNumberFormat="1" applyFont="1" applyFill="1" applyBorder="1"/>
    <xf numFmtId="0" fontId="47" fillId="23" borderId="0" xfId="0" applyFont="1" applyFill="1"/>
    <xf numFmtId="0" fontId="48" fillId="0" borderId="12" xfId="0" applyFont="1" applyBorder="1"/>
    <xf numFmtId="0" fontId="48" fillId="0" borderId="18" xfId="0" applyFont="1" applyBorder="1"/>
    <xf numFmtId="0" fontId="48" fillId="0" borderId="13" xfId="0" applyFont="1" applyBorder="1"/>
    <xf numFmtId="0" fontId="109" fillId="0" borderId="14" xfId="0" applyFont="1" applyBorder="1"/>
    <xf numFmtId="0" fontId="47" fillId="0" borderId="14" xfId="0" applyFont="1" applyBorder="1"/>
    <xf numFmtId="0" fontId="17" fillId="0" borderId="20" xfId="0" applyFont="1" applyBorder="1" applyAlignment="1">
      <alignment vertical="top" wrapText="1"/>
    </xf>
    <xf numFmtId="0" fontId="17" fillId="0" borderId="21" xfId="0" applyFont="1" applyBorder="1"/>
    <xf numFmtId="0" fontId="17" fillId="0" borderId="14" xfId="0" applyFont="1" applyBorder="1" applyAlignment="1">
      <alignment vertical="top" wrapText="1"/>
    </xf>
    <xf numFmtId="0" fontId="17" fillId="0" borderId="14" xfId="0" applyFont="1" applyBorder="1"/>
    <xf numFmtId="0" fontId="17" fillId="0" borderId="13" xfId="0" applyFont="1" applyBorder="1"/>
    <xf numFmtId="44" fontId="17" fillId="16" borderId="75" xfId="2" applyFont="1" applyFill="1" applyBorder="1" applyProtection="1"/>
    <xf numFmtId="0" fontId="75" fillId="16" borderId="20" xfId="0" applyFont="1" applyFill="1" applyBorder="1" applyAlignment="1">
      <alignment horizontal="center" vertical="center" wrapText="1"/>
    </xf>
    <xf numFmtId="10" fontId="0" fillId="16" borderId="21" xfId="3" applyNumberFormat="1" applyFont="1" applyFill="1" applyBorder="1" applyProtection="1"/>
    <xf numFmtId="177" fontId="53" fillId="16" borderId="1" xfId="0" applyNumberFormat="1" applyFont="1" applyFill="1" applyBorder="1" applyAlignment="1">
      <alignment horizontal="center" vertical="center" wrapText="1"/>
    </xf>
    <xf numFmtId="0" fontId="45" fillId="6" borderId="0" xfId="0" applyFont="1" applyFill="1" applyAlignment="1" applyProtection="1">
      <alignment horizontal="center"/>
      <protection hidden="1"/>
    </xf>
    <xf numFmtId="187" fontId="0" fillId="17" borderId="14" xfId="0" applyNumberFormat="1" applyFill="1" applyBorder="1" applyProtection="1">
      <protection locked="0"/>
    </xf>
    <xf numFmtId="0" fontId="20" fillId="7" borderId="14" xfId="0" applyFont="1" applyFill="1" applyBorder="1" applyAlignment="1" applyProtection="1">
      <alignment horizontal="center" vertical="center"/>
      <protection hidden="1"/>
    </xf>
    <xf numFmtId="0" fontId="19" fillId="16" borderId="14" xfId="0" applyFont="1" applyFill="1" applyBorder="1" applyAlignment="1" applyProtection="1">
      <alignment horizontal="center" vertical="center"/>
      <protection hidden="1"/>
    </xf>
    <xf numFmtId="0" fontId="17" fillId="0" borderId="127" xfId="0" applyFont="1" applyBorder="1" applyAlignment="1">
      <alignment vertical="top" wrapText="1"/>
    </xf>
    <xf numFmtId="0" fontId="17" fillId="0" borderId="128" xfId="0" applyFont="1" applyBorder="1"/>
    <xf numFmtId="0" fontId="17" fillId="0" borderId="128" xfId="0" applyFont="1" applyBorder="1" applyAlignment="1">
      <alignment vertical="top" wrapText="1"/>
    </xf>
    <xf numFmtId="0" fontId="17" fillId="0" borderId="129" xfId="0" applyFont="1" applyBorder="1"/>
    <xf numFmtId="0" fontId="17" fillId="0" borderId="129" xfId="0" applyFont="1" applyBorder="1" applyAlignment="1">
      <alignment vertical="top" wrapText="1"/>
    </xf>
    <xf numFmtId="0" fontId="17" fillId="0" borderId="127" xfId="0" applyFont="1" applyBorder="1"/>
    <xf numFmtId="0" fontId="17" fillId="0" borderId="128" xfId="0" applyFont="1" applyBorder="1" applyAlignment="1">
      <alignment wrapText="1"/>
    </xf>
    <xf numFmtId="0" fontId="17" fillId="0" borderId="127" xfId="0" applyFont="1" applyBorder="1" applyAlignment="1">
      <alignment wrapText="1"/>
    </xf>
    <xf numFmtId="0" fontId="17" fillId="0" borderId="129" xfId="0" applyFont="1" applyBorder="1" applyAlignment="1">
      <alignment wrapText="1"/>
    </xf>
    <xf numFmtId="0" fontId="16" fillId="0" borderId="129" xfId="0" applyFont="1" applyBorder="1" applyAlignment="1">
      <alignment vertical="top" wrapText="1"/>
    </xf>
    <xf numFmtId="0" fontId="17" fillId="0" borderId="128" xfId="0" applyFont="1" applyBorder="1" applyAlignment="1">
      <alignment horizontal="left" vertical="top" wrapText="1"/>
    </xf>
    <xf numFmtId="0" fontId="16" fillId="0" borderId="128" xfId="0" applyFont="1" applyBorder="1" applyAlignment="1">
      <alignment vertical="top" wrapText="1"/>
    </xf>
    <xf numFmtId="0" fontId="16" fillId="0" borderId="128" xfId="0" applyFont="1" applyBorder="1"/>
    <xf numFmtId="0" fontId="16" fillId="0" borderId="129" xfId="0" applyFont="1" applyBorder="1"/>
    <xf numFmtId="0" fontId="16" fillId="0" borderId="19" xfId="0" applyFont="1" applyBorder="1" applyAlignment="1">
      <alignment vertical="top" wrapText="1"/>
    </xf>
    <xf numFmtId="0" fontId="0" fillId="0" borderId="128" xfId="0" applyBorder="1"/>
    <xf numFmtId="0" fontId="16" fillId="0" borderId="127" xfId="0" applyFont="1" applyBorder="1" applyAlignment="1">
      <alignment vertical="top" wrapText="1"/>
    </xf>
    <xf numFmtId="0" fontId="0" fillId="0" borderId="127" xfId="0" applyBorder="1"/>
    <xf numFmtId="0" fontId="15" fillId="0" borderId="128" xfId="0" applyFont="1" applyBorder="1" applyAlignment="1">
      <alignment vertical="top" wrapText="1"/>
    </xf>
    <xf numFmtId="0" fontId="15" fillId="0" borderId="128" xfId="0" applyFont="1" applyBorder="1"/>
    <xf numFmtId="0" fontId="14" fillId="0" borderId="21" xfId="0" applyFont="1" applyBorder="1" applyAlignment="1">
      <alignment vertical="top" wrapText="1"/>
    </xf>
    <xf numFmtId="14" fontId="30" fillId="0" borderId="14" xfId="0" applyNumberFormat="1" applyFont="1" applyBorder="1" applyAlignment="1">
      <alignment horizontal="center" vertical="top" wrapText="1"/>
    </xf>
    <xf numFmtId="14" fontId="30" fillId="6" borderId="14" xfId="0" applyNumberFormat="1" applyFont="1" applyFill="1" applyBorder="1" applyAlignment="1">
      <alignment horizontal="center" vertical="top" wrapText="1"/>
    </xf>
    <xf numFmtId="14" fontId="30" fillId="6" borderId="123" xfId="0" applyNumberFormat="1" applyFont="1" applyFill="1" applyBorder="1" applyAlignment="1">
      <alignment horizontal="center" vertical="top" wrapText="1"/>
    </xf>
    <xf numFmtId="14" fontId="30" fillId="6" borderId="126" xfId="0" applyNumberFormat="1" applyFont="1" applyFill="1" applyBorder="1" applyAlignment="1">
      <alignment horizontal="center" vertical="top" wrapText="1"/>
    </xf>
    <xf numFmtId="14" fontId="30" fillId="6" borderId="124" xfId="0" applyNumberFormat="1" applyFont="1" applyFill="1" applyBorder="1" applyAlignment="1">
      <alignment horizontal="center" vertical="top" wrapText="1"/>
    </xf>
    <xf numFmtId="14" fontId="30" fillId="0" borderId="125" xfId="0" applyNumberFormat="1" applyFont="1" applyBorder="1" applyAlignment="1">
      <alignment horizontal="center" vertical="top" wrapText="1"/>
    </xf>
    <xf numFmtId="14" fontId="22" fillId="6" borderId="123" xfId="0" applyNumberFormat="1" applyFont="1" applyFill="1" applyBorder="1" applyAlignment="1">
      <alignment horizontal="center" vertical="top" wrapText="1"/>
    </xf>
    <xf numFmtId="14" fontId="22" fillId="6" borderId="125" xfId="0" applyNumberFormat="1" applyFont="1" applyFill="1" applyBorder="1" applyAlignment="1">
      <alignment horizontal="center" vertical="top" wrapText="1"/>
    </xf>
    <xf numFmtId="14" fontId="21" fillId="6" borderId="14" xfId="0" applyNumberFormat="1" applyFont="1" applyFill="1" applyBorder="1" applyAlignment="1">
      <alignment horizontal="center" vertical="top" wrapText="1"/>
    </xf>
    <xf numFmtId="0" fontId="54" fillId="23" borderId="0" xfId="0" applyFont="1" applyFill="1" applyProtection="1">
      <protection hidden="1"/>
    </xf>
    <xf numFmtId="0" fontId="16" fillId="0" borderId="130" xfId="0" applyFont="1" applyBorder="1" applyAlignment="1">
      <alignment vertical="top" wrapText="1"/>
    </xf>
    <xf numFmtId="0" fontId="17" fillId="0" borderId="130" xfId="0" applyFont="1" applyBorder="1" applyAlignment="1">
      <alignment wrapText="1"/>
    </xf>
    <xf numFmtId="0" fontId="13" fillId="0" borderId="20" xfId="0" applyFont="1" applyBorder="1" applyAlignment="1">
      <alignment vertical="top" wrapText="1"/>
    </xf>
    <xf numFmtId="0" fontId="12" fillId="0" borderId="14" xfId="0" applyFont="1" applyBorder="1" applyAlignment="1">
      <alignment vertical="top" wrapText="1"/>
    </xf>
    <xf numFmtId="0" fontId="12" fillId="0" borderId="14" xfId="0" applyFont="1" applyBorder="1"/>
    <xf numFmtId="0" fontId="56" fillId="16" borderId="117" xfId="0" applyFont="1" applyFill="1" applyBorder="1"/>
    <xf numFmtId="0" fontId="131" fillId="23" borderId="0" xfId="0" applyFont="1" applyFill="1"/>
    <xf numFmtId="0" fontId="131" fillId="31" borderId="0" xfId="0" applyFont="1" applyFill="1"/>
    <xf numFmtId="0" fontId="131" fillId="12" borderId="0" xfId="0" applyFont="1" applyFill="1"/>
    <xf numFmtId="14" fontId="12" fillId="0" borderId="14" xfId="0" applyNumberFormat="1" applyFont="1" applyBorder="1" applyAlignment="1">
      <alignment horizontal="center" vertical="top"/>
    </xf>
    <xf numFmtId="1" fontId="132" fillId="25" borderId="0" xfId="0" applyNumberFormat="1" applyFont="1" applyFill="1"/>
    <xf numFmtId="0" fontId="0" fillId="0" borderId="131" xfId="0" applyBorder="1"/>
    <xf numFmtId="0" fontId="0" fillId="0" borderId="30" xfId="0" applyBorder="1"/>
    <xf numFmtId="0" fontId="0" fillId="0" borderId="31" xfId="0" applyBorder="1"/>
    <xf numFmtId="0" fontId="63" fillId="0" borderId="61" xfId="0" applyFont="1" applyBorder="1"/>
    <xf numFmtId="0" fontId="0" fillId="0" borderId="62" xfId="0" applyBorder="1"/>
    <xf numFmtId="0" fontId="0" fillId="0" borderId="63" xfId="0" applyBorder="1"/>
    <xf numFmtId="0" fontId="134" fillId="0" borderId="59" xfId="0" applyFont="1" applyBorder="1"/>
    <xf numFmtId="0" fontId="0" fillId="0" borderId="83" xfId="0" applyBorder="1"/>
    <xf numFmtId="0" fontId="124" fillId="0" borderId="75" xfId="0" applyFont="1" applyBorder="1"/>
    <xf numFmtId="0" fontId="50" fillId="35" borderId="14" xfId="0" applyFont="1" applyFill="1" applyBorder="1" applyAlignment="1">
      <alignment horizontal="center"/>
    </xf>
    <xf numFmtId="0" fontId="121" fillId="27" borderId="82" xfId="0" applyFont="1" applyFill="1" applyBorder="1" applyAlignment="1">
      <alignment horizontal="center"/>
    </xf>
    <xf numFmtId="0" fontId="0" fillId="6" borderId="20" xfId="0" applyFill="1" applyBorder="1"/>
    <xf numFmtId="173" fontId="0" fillId="17" borderId="20" xfId="0" applyNumberFormat="1" applyFill="1" applyBorder="1" applyAlignment="1" applyProtection="1">
      <alignment horizontal="center"/>
      <protection locked="0"/>
    </xf>
    <xf numFmtId="177" fontId="0" fillId="6" borderId="1" xfId="0" applyNumberFormat="1" applyFill="1" applyBorder="1" applyAlignment="1">
      <alignment horizontal="center"/>
    </xf>
    <xf numFmtId="0" fontId="0" fillId="6" borderId="80" xfId="0" applyFill="1" applyBorder="1"/>
    <xf numFmtId="175" fontId="0" fillId="17" borderId="1" xfId="0" applyNumberFormat="1" applyFill="1" applyBorder="1" applyProtection="1">
      <protection locked="0"/>
    </xf>
    <xf numFmtId="0" fontId="0" fillId="6" borderId="21" xfId="0" applyFill="1" applyBorder="1"/>
    <xf numFmtId="177" fontId="0" fillId="6" borderId="6" xfId="0" applyNumberFormat="1" applyFill="1" applyBorder="1" applyAlignment="1">
      <alignment horizontal="center"/>
    </xf>
    <xf numFmtId="0" fontId="0" fillId="6" borderId="74" xfId="0" applyFill="1" applyBorder="1"/>
    <xf numFmtId="175" fontId="0" fillId="17" borderId="6" xfId="0" applyNumberFormat="1" applyFill="1" applyBorder="1" applyProtection="1">
      <protection locked="0"/>
    </xf>
    <xf numFmtId="173" fontId="0" fillId="18" borderId="20" xfId="0" applyNumberFormat="1" applyFill="1" applyBorder="1" applyAlignment="1">
      <alignment horizontal="center"/>
    </xf>
    <xf numFmtId="177" fontId="0" fillId="18" borderId="1" xfId="0" applyNumberFormat="1" applyFill="1" applyBorder="1" applyAlignment="1">
      <alignment horizontal="center"/>
    </xf>
    <xf numFmtId="175" fontId="0" fillId="23" borderId="20" xfId="0" applyNumberFormat="1" applyFill="1" applyBorder="1" applyAlignment="1">
      <alignment horizontal="center"/>
    </xf>
    <xf numFmtId="173" fontId="0" fillId="18" borderId="21" xfId="0" applyNumberFormat="1" applyFill="1" applyBorder="1" applyAlignment="1">
      <alignment horizontal="center"/>
    </xf>
    <xf numFmtId="177" fontId="0" fillId="18" borderId="6" xfId="0" applyNumberFormat="1" applyFill="1" applyBorder="1" applyAlignment="1">
      <alignment horizontal="center"/>
    </xf>
    <xf numFmtId="175" fontId="0" fillId="18" borderId="21" xfId="0" applyNumberFormat="1" applyFill="1" applyBorder="1" applyAlignment="1">
      <alignment horizontal="center"/>
    </xf>
    <xf numFmtId="0" fontId="51" fillId="6" borderId="22" xfId="0" applyFont="1" applyFill="1" applyBorder="1" applyAlignment="1">
      <alignment wrapText="1"/>
    </xf>
    <xf numFmtId="10" fontId="0" fillId="18" borderId="116" xfId="3" applyNumberFormat="1" applyFont="1" applyFill="1" applyBorder="1" applyAlignment="1">
      <alignment horizontal="center"/>
    </xf>
    <xf numFmtId="10" fontId="0" fillId="17" borderId="116" xfId="3" applyNumberFormat="1" applyFont="1" applyFill="1" applyBorder="1" applyAlignment="1" applyProtection="1">
      <alignment horizontal="center"/>
      <protection locked="0"/>
    </xf>
    <xf numFmtId="168" fontId="0" fillId="7" borderId="0" xfId="0" applyNumberFormat="1" applyFill="1"/>
    <xf numFmtId="0" fontId="0" fillId="0" borderId="61" xfId="0" applyBorder="1"/>
    <xf numFmtId="0" fontId="75" fillId="0" borderId="62" xfId="0" applyFont="1" applyBorder="1"/>
    <xf numFmtId="0" fontId="75" fillId="0" borderId="115" xfId="0" applyFont="1" applyBorder="1"/>
    <xf numFmtId="0" fontId="51" fillId="7" borderId="59" xfId="0" applyFont="1" applyFill="1" applyBorder="1" applyAlignment="1">
      <alignment wrapText="1"/>
    </xf>
    <xf numFmtId="0" fontId="75" fillId="0" borderId="31" xfId="0" applyFont="1" applyBorder="1"/>
    <xf numFmtId="0" fontId="121" fillId="16" borderId="32" xfId="0" applyFont="1" applyFill="1" applyBorder="1"/>
    <xf numFmtId="181" fontId="56" fillId="0" borderId="110" xfId="3" applyNumberFormat="1" applyFont="1" applyBorder="1" applyAlignment="1">
      <alignment horizontal="center"/>
    </xf>
    <xf numFmtId="10" fontId="56" fillId="17" borderId="43" xfId="0" applyNumberFormat="1" applyFont="1" applyFill="1" applyBorder="1" applyAlignment="1">
      <alignment horizontal="center"/>
    </xf>
    <xf numFmtId="0" fontId="10" fillId="0" borderId="36" xfId="0" applyFont="1" applyBorder="1" applyAlignment="1">
      <alignment horizontal="center" wrapText="1"/>
    </xf>
    <xf numFmtId="0" fontId="128" fillId="0" borderId="7" xfId="0" applyFont="1" applyBorder="1" applyAlignment="1">
      <alignment horizontal="right"/>
    </xf>
    <xf numFmtId="0" fontId="135" fillId="0" borderId="19" xfId="0" applyFont="1" applyBorder="1" applyAlignment="1">
      <alignment vertical="top" wrapText="1"/>
    </xf>
    <xf numFmtId="0" fontId="131" fillId="0" borderId="0" xfId="0" applyFont="1"/>
    <xf numFmtId="0" fontId="75" fillId="6" borderId="0" xfId="0" applyFont="1" applyFill="1"/>
    <xf numFmtId="0" fontId="75" fillId="0" borderId="4" xfId="0" applyFont="1" applyBorder="1"/>
    <xf numFmtId="0" fontId="51" fillId="6" borderId="0" xfId="0" applyFont="1" applyFill="1"/>
    <xf numFmtId="0" fontId="10" fillId="6" borderId="0" xfId="0" applyFont="1" applyFill="1"/>
    <xf numFmtId="0" fontId="10" fillId="6" borderId="0" xfId="0" applyFont="1" applyFill="1" applyAlignment="1">
      <alignment wrapText="1"/>
    </xf>
    <xf numFmtId="14" fontId="10" fillId="6" borderId="0" xfId="0" applyNumberFormat="1" applyFont="1" applyFill="1"/>
    <xf numFmtId="165" fontId="10" fillId="6" borderId="0" xfId="0" applyNumberFormat="1" applyFont="1" applyFill="1"/>
    <xf numFmtId="165" fontId="36" fillId="17" borderId="133" xfId="3" applyNumberFormat="1" applyFont="1" applyFill="1" applyBorder="1" applyProtection="1">
      <protection locked="0"/>
    </xf>
    <xf numFmtId="44" fontId="36" fillId="23" borderId="105" xfId="2" applyFont="1" applyFill="1" applyBorder="1" applyProtection="1"/>
    <xf numFmtId="44" fontId="36" fillId="18" borderId="21" xfId="2" applyFont="1" applyFill="1" applyBorder="1" applyProtection="1"/>
    <xf numFmtId="165" fontId="36" fillId="17" borderId="35" xfId="3" applyNumberFormat="1" applyFont="1" applyFill="1" applyBorder="1" applyProtection="1">
      <protection locked="0"/>
    </xf>
    <xf numFmtId="44" fontId="36" fillId="18" borderId="35" xfId="2" applyFont="1" applyFill="1" applyBorder="1" applyProtection="1"/>
    <xf numFmtId="10" fontId="47" fillId="6" borderId="95" xfId="3" applyNumberFormat="1" applyFont="1" applyFill="1" applyBorder="1"/>
    <xf numFmtId="0" fontId="56" fillId="16" borderId="21" xfId="2" applyNumberFormat="1" applyFont="1" applyFill="1" applyBorder="1" applyProtection="1"/>
    <xf numFmtId="185" fontId="56" fillId="16" borderId="117" xfId="0" applyNumberFormat="1" applyFont="1" applyFill="1" applyBorder="1"/>
    <xf numFmtId="0" fontId="9" fillId="6" borderId="0" xfId="0" applyFont="1" applyFill="1" applyAlignment="1">
      <alignment wrapText="1"/>
    </xf>
    <xf numFmtId="179" fontId="20" fillId="17" borderId="14" xfId="0" applyNumberFormat="1" applyFont="1" applyFill="1" applyBorder="1" applyAlignment="1" applyProtection="1">
      <alignment horizontal="center" vertical="center"/>
      <protection locked="0"/>
    </xf>
    <xf numFmtId="179" fontId="20" fillId="16" borderId="14" xfId="0" applyNumberFormat="1" applyFont="1" applyFill="1" applyBorder="1" applyAlignment="1">
      <alignment horizontal="center" vertical="center"/>
    </xf>
    <xf numFmtId="0" fontId="9" fillId="7" borderId="14" xfId="0" applyFont="1" applyFill="1" applyBorder="1" applyAlignment="1" applyProtection="1">
      <alignment horizontal="center" vertical="center"/>
      <protection hidden="1"/>
    </xf>
    <xf numFmtId="165" fontId="53" fillId="6" borderId="0" xfId="0" applyNumberFormat="1" applyFont="1" applyFill="1"/>
    <xf numFmtId="0" fontId="116" fillId="23" borderId="0" xfId="0" applyFont="1" applyFill="1"/>
    <xf numFmtId="0" fontId="8" fillId="7" borderId="14" xfId="0" applyFont="1" applyFill="1" applyBorder="1" applyAlignment="1">
      <alignment wrapText="1"/>
    </xf>
    <xf numFmtId="0" fontId="51" fillId="19" borderId="14" xfId="0" applyFont="1" applyFill="1" applyBorder="1" applyAlignment="1" applyProtection="1">
      <alignment horizontal="center" wrapText="1"/>
      <protection hidden="1"/>
    </xf>
    <xf numFmtId="10" fontId="9" fillId="16" borderId="14" xfId="0" applyNumberFormat="1" applyFont="1" applyFill="1" applyBorder="1"/>
    <xf numFmtId="10" fontId="7" fillId="0" borderId="13" xfId="0" applyNumberFormat="1" applyFont="1" applyBorder="1" applyAlignment="1" applyProtection="1">
      <alignment horizontal="center"/>
      <protection hidden="1"/>
    </xf>
    <xf numFmtId="10" fontId="7" fillId="6" borderId="14" xfId="0" applyNumberFormat="1" applyFont="1" applyFill="1" applyBorder="1" applyProtection="1">
      <protection hidden="1"/>
    </xf>
    <xf numFmtId="0" fontId="57" fillId="0" borderId="19" xfId="0" applyFont="1" applyBorder="1" applyAlignment="1">
      <alignment vertical="top" wrapText="1"/>
    </xf>
    <xf numFmtId="0" fontId="0" fillId="11" borderId="14" xfId="0" applyFill="1" applyBorder="1"/>
    <xf numFmtId="10" fontId="6" fillId="16" borderId="14" xfId="3" applyNumberFormat="1" applyFont="1" applyFill="1" applyBorder="1"/>
    <xf numFmtId="0" fontId="51" fillId="17" borderId="22" xfId="0" applyFont="1" applyFill="1" applyBorder="1" applyAlignment="1" applyProtection="1">
      <alignment wrapText="1"/>
      <protection locked="0"/>
    </xf>
    <xf numFmtId="0" fontId="5" fillId="0" borderId="61" xfId="0" applyFont="1" applyBorder="1"/>
    <xf numFmtId="0" fontId="20" fillId="7" borderId="14" xfId="0" applyFont="1" applyFill="1" applyBorder="1" applyAlignment="1">
      <alignment horizontal="center"/>
    </xf>
    <xf numFmtId="0" fontId="5" fillId="7" borderId="14" xfId="0" applyFont="1" applyFill="1" applyBorder="1" applyAlignment="1">
      <alignment horizontal="center" vertical="center" wrapText="1"/>
    </xf>
    <xf numFmtId="0" fontId="0" fillId="0" borderId="9" xfId="0" applyBorder="1"/>
    <xf numFmtId="0" fontId="0" fillId="0" borderId="10" xfId="0" applyBorder="1"/>
    <xf numFmtId="0" fontId="0" fillId="0" borderId="11" xfId="0" applyBorder="1"/>
    <xf numFmtId="165" fontId="57" fillId="17" borderId="108" xfId="0" applyNumberFormat="1" applyFont="1" applyFill="1" applyBorder="1" applyProtection="1">
      <protection locked="0"/>
    </xf>
    <xf numFmtId="0" fontId="4" fillId="7" borderId="14" xfId="0" applyFont="1" applyFill="1" applyBorder="1" applyAlignment="1" applyProtection="1">
      <alignment horizontal="center" vertical="center"/>
      <protection hidden="1"/>
    </xf>
    <xf numFmtId="179" fontId="20" fillId="16" borderId="14" xfId="0" applyNumberFormat="1" applyFont="1" applyFill="1" applyBorder="1" applyAlignment="1">
      <alignment horizontal="center"/>
    </xf>
    <xf numFmtId="179" fontId="0" fillId="16" borderId="14" xfId="0" applyNumberFormat="1" applyFill="1" applyBorder="1" applyAlignment="1">
      <alignment vertical="center"/>
    </xf>
    <xf numFmtId="179" fontId="20" fillId="17" borderId="14" xfId="0" applyNumberFormat="1" applyFont="1" applyFill="1" applyBorder="1" applyAlignment="1" applyProtection="1">
      <alignment horizontal="center"/>
      <protection locked="0"/>
    </xf>
    <xf numFmtId="179" fontId="0" fillId="16" borderId="14" xfId="0" applyNumberFormat="1" applyFill="1" applyBorder="1" applyAlignment="1">
      <alignment horizontal="center"/>
    </xf>
    <xf numFmtId="10" fontId="47" fillId="17" borderId="14" xfId="0" applyNumberFormat="1" applyFont="1" applyFill="1" applyBorder="1"/>
    <xf numFmtId="0" fontId="30" fillId="0" borderId="8" xfId="0" applyFont="1" applyBorder="1" applyAlignment="1">
      <alignment vertical="top" wrapText="1"/>
    </xf>
    <xf numFmtId="0" fontId="30" fillId="0" borderId="134" xfId="0" applyFont="1" applyBorder="1" applyAlignment="1">
      <alignment vertical="top" wrapText="1"/>
    </xf>
    <xf numFmtId="0" fontId="27" fillId="0" borderId="13" xfId="0" applyFont="1" applyBorder="1" applyAlignment="1">
      <alignment vertical="top" wrapText="1"/>
    </xf>
    <xf numFmtId="0" fontId="26" fillId="0" borderId="13" xfId="0" applyFont="1" applyBorder="1" applyAlignment="1">
      <alignment vertical="top" wrapText="1"/>
    </xf>
    <xf numFmtId="0" fontId="24" fillId="0" borderId="135" xfId="0" applyFont="1" applyBorder="1" applyAlignment="1">
      <alignment vertical="top" wrapText="1"/>
    </xf>
    <xf numFmtId="0" fontId="24" fillId="0" borderId="136" xfId="0" applyFont="1" applyBorder="1" applyAlignment="1">
      <alignment vertical="top" wrapText="1"/>
    </xf>
    <xf numFmtId="0" fontId="22" fillId="0" borderId="3" xfId="0" applyFont="1" applyBorder="1" applyAlignment="1">
      <alignment vertical="top" wrapText="1"/>
    </xf>
    <xf numFmtId="0" fontId="22" fillId="0" borderId="137" xfId="0" applyFont="1" applyBorder="1" applyAlignment="1">
      <alignment vertical="top" wrapText="1"/>
    </xf>
    <xf numFmtId="0" fontId="21" fillId="0" borderId="13" xfId="0" applyFont="1" applyBorder="1" applyAlignment="1">
      <alignment vertical="top" wrapText="1"/>
    </xf>
    <xf numFmtId="0" fontId="17" fillId="0" borderId="3" xfId="0" applyFont="1" applyBorder="1" applyAlignment="1">
      <alignment vertical="top" wrapText="1"/>
    </xf>
    <xf numFmtId="0" fontId="17" fillId="0" borderId="8" xfId="0" applyFont="1" applyBorder="1"/>
    <xf numFmtId="0" fontId="0" fillId="0" borderId="130" xfId="0" applyBorder="1"/>
    <xf numFmtId="0" fontId="27" fillId="0" borderId="137" xfId="0" applyFont="1" applyBorder="1" applyAlignment="1">
      <alignment vertical="top" wrapText="1"/>
    </xf>
    <xf numFmtId="0" fontId="17" fillId="0" borderId="5" xfId="0" applyFont="1" applyBorder="1"/>
    <xf numFmtId="0" fontId="17" fillId="0" borderId="3" xfId="0" applyFont="1" applyBorder="1" applyAlignment="1">
      <alignment vertical="top"/>
    </xf>
    <xf numFmtId="0" fontId="16" fillId="0" borderId="3" xfId="0" applyFont="1" applyBorder="1" applyAlignment="1">
      <alignment vertical="top"/>
    </xf>
    <xf numFmtId="0" fontId="17" fillId="0" borderId="3" xfId="0" applyFont="1" applyBorder="1"/>
    <xf numFmtId="0" fontId="17" fillId="0" borderId="8" xfId="0" applyFont="1" applyBorder="1" applyAlignment="1">
      <alignment horizontal="center" vertical="top"/>
    </xf>
    <xf numFmtId="0" fontId="17" fillId="0" borderId="5" xfId="0" applyFont="1" applyBorder="1" applyAlignment="1">
      <alignment horizontal="center"/>
    </xf>
    <xf numFmtId="0" fontId="14" fillId="0" borderId="3" xfId="0" applyFont="1" applyBorder="1" applyAlignment="1">
      <alignment vertical="top"/>
    </xf>
    <xf numFmtId="0" fontId="11" fillId="0" borderId="3" xfId="0" applyFont="1" applyBorder="1"/>
    <xf numFmtId="0" fontId="12" fillId="0" borderId="13" xfId="0" applyFont="1" applyBorder="1" applyAlignment="1">
      <alignment vertical="top"/>
    </xf>
    <xf numFmtId="14" fontId="3" fillId="0" borderId="5" xfId="0" applyNumberFormat="1" applyFont="1" applyBorder="1"/>
    <xf numFmtId="0" fontId="3" fillId="0" borderId="5" xfId="0" applyFont="1" applyBorder="1"/>
    <xf numFmtId="0" fontId="3" fillId="0" borderId="19" xfId="0" applyFont="1" applyBorder="1" applyAlignment="1">
      <alignment vertical="top" wrapText="1"/>
    </xf>
    <xf numFmtId="0" fontId="3" fillId="0" borderId="19" xfId="0" applyFont="1" applyBorder="1"/>
    <xf numFmtId="14" fontId="3" fillId="0" borderId="19" xfId="0" applyNumberFormat="1" applyFont="1" applyBorder="1"/>
    <xf numFmtId="0" fontId="135" fillId="0" borderId="19" xfId="0" applyFont="1" applyBorder="1"/>
    <xf numFmtId="0" fontId="3" fillId="0" borderId="35" xfId="0" applyFont="1" applyBorder="1" applyAlignment="1">
      <alignment horizontal="left"/>
    </xf>
    <xf numFmtId="0" fontId="56" fillId="0" borderId="5" xfId="0" applyFont="1" applyBorder="1"/>
    <xf numFmtId="0" fontId="56" fillId="0" borderId="19" xfId="0" applyFont="1" applyBorder="1"/>
    <xf numFmtId="14" fontId="3" fillId="0" borderId="3" xfId="0" applyNumberFormat="1" applyFont="1" applyBorder="1"/>
    <xf numFmtId="0" fontId="3" fillId="0" borderId="3" xfId="0" applyFont="1" applyBorder="1"/>
    <xf numFmtId="0" fontId="3" fillId="0" borderId="20" xfId="0" applyFont="1" applyBorder="1"/>
    <xf numFmtId="0" fontId="2" fillId="0" borderId="5" xfId="0" applyFont="1" applyBorder="1"/>
    <xf numFmtId="0" fontId="2" fillId="0" borderId="19" xfId="0" applyFont="1" applyBorder="1"/>
    <xf numFmtId="0" fontId="48" fillId="22" borderId="1" xfId="0" applyFont="1" applyFill="1" applyBorder="1" applyAlignment="1">
      <alignment horizontal="center" vertical="center" wrapText="1"/>
    </xf>
    <xf numFmtId="0" fontId="48" fillId="22" borderId="2" xfId="0" applyFont="1" applyFill="1" applyBorder="1" applyAlignment="1">
      <alignment horizontal="center" vertical="center" wrapText="1"/>
    </xf>
    <xf numFmtId="0" fontId="48" fillId="22" borderId="3" xfId="0" applyFont="1" applyFill="1" applyBorder="1" applyAlignment="1">
      <alignment horizontal="center" vertical="center" wrapText="1"/>
    </xf>
    <xf numFmtId="0" fontId="48" fillId="22" borderId="6" xfId="0" applyFont="1" applyFill="1" applyBorder="1" applyAlignment="1">
      <alignment horizontal="center" vertical="center" wrapText="1"/>
    </xf>
    <xf numFmtId="0" fontId="48" fillId="22" borderId="7" xfId="0" applyFont="1" applyFill="1" applyBorder="1" applyAlignment="1">
      <alignment horizontal="center" vertical="center" wrapText="1"/>
    </xf>
    <xf numFmtId="0" fontId="48" fillId="22" borderId="8" xfId="0" applyFont="1" applyFill="1" applyBorder="1" applyAlignment="1">
      <alignment horizontal="center" vertical="center" wrapText="1"/>
    </xf>
    <xf numFmtId="0" fontId="71" fillId="0" borderId="0" xfId="0" applyFont="1" applyAlignment="1">
      <alignment horizontal="left" vertical="top" wrapText="1"/>
    </xf>
    <xf numFmtId="0" fontId="71" fillId="0" borderId="0" xfId="0" applyFont="1" applyAlignment="1">
      <alignment vertical="top" wrapText="1"/>
    </xf>
    <xf numFmtId="0" fontId="71" fillId="0" borderId="0" xfId="0" applyFont="1" applyAlignment="1">
      <alignment horizontal="left" wrapText="1"/>
    </xf>
    <xf numFmtId="0" fontId="71" fillId="0" borderId="0" xfId="0" applyFont="1" applyAlignment="1">
      <alignment horizontal="left" vertical="center" wrapText="1"/>
    </xf>
    <xf numFmtId="0" fontId="52" fillId="0" borderId="0" xfId="0" applyFont="1" applyAlignment="1">
      <alignment horizontal="left" vertical="top" wrapText="1"/>
    </xf>
    <xf numFmtId="0" fontId="0" fillId="0" borderId="0" xfId="0" applyAlignment="1">
      <alignment wrapText="1"/>
    </xf>
    <xf numFmtId="0" fontId="71" fillId="0" borderId="0" xfId="0" applyFont="1" applyAlignment="1">
      <alignment horizontal="center" vertical="top" wrapText="1"/>
    </xf>
    <xf numFmtId="0" fontId="20" fillId="33" borderId="7" xfId="0" applyFont="1" applyFill="1" applyBorder="1" applyAlignment="1" applyProtection="1">
      <alignment horizontal="center"/>
      <protection locked="0"/>
    </xf>
    <xf numFmtId="49" fontId="57" fillId="4" borderId="7" xfId="0" applyNumberFormat="1" applyFont="1" applyFill="1" applyBorder="1" applyAlignment="1" applyProtection="1">
      <alignment horizontal="left"/>
      <protection locked="0"/>
    </xf>
    <xf numFmtId="49" fontId="0" fillId="0" borderId="7" xfId="0" applyNumberFormat="1" applyBorder="1" applyAlignment="1" applyProtection="1">
      <alignment horizontal="left"/>
      <protection locked="0"/>
    </xf>
    <xf numFmtId="0" fontId="0" fillId="0" borderId="7" xfId="0" applyBorder="1" applyProtection="1">
      <protection locked="0"/>
    </xf>
    <xf numFmtId="49" fontId="57" fillId="4" borderId="7" xfId="0" applyNumberFormat="1" applyFont="1" applyFill="1" applyBorder="1" applyProtection="1">
      <protection locked="0"/>
    </xf>
    <xf numFmtId="49" fontId="0" fillId="0" borderId="7" xfId="0" applyNumberFormat="1" applyBorder="1" applyProtection="1">
      <protection locked="0"/>
    </xf>
    <xf numFmtId="0" fontId="57" fillId="4" borderId="7" xfId="0" applyFont="1" applyFill="1" applyBorder="1" applyProtection="1">
      <protection locked="0"/>
    </xf>
    <xf numFmtId="49" fontId="59" fillId="4" borderId="7" xfId="1" applyNumberFormat="1" applyFill="1" applyBorder="1" applyAlignment="1" applyProtection="1">
      <alignment horizontal="left"/>
      <protection locked="0"/>
    </xf>
    <xf numFmtId="49" fontId="59" fillId="4" borderId="7" xfId="1" applyNumberFormat="1" applyFill="1" applyBorder="1" applyAlignment="1" applyProtection="1">
      <protection locked="0"/>
    </xf>
    <xf numFmtId="0" fontId="57" fillId="4" borderId="7" xfId="0" applyFont="1" applyFill="1" applyBorder="1" applyAlignment="1" applyProtection="1">
      <alignment vertical="top"/>
      <protection locked="0"/>
    </xf>
    <xf numFmtId="0" fontId="45" fillId="0" borderId="0" xfId="0" applyFont="1" applyAlignment="1">
      <alignment horizontal="center"/>
    </xf>
    <xf numFmtId="0" fontId="59" fillId="5" borderId="9" xfId="1" applyFill="1" applyBorder="1" applyAlignment="1" applyProtection="1">
      <alignment horizontal="center" wrapText="1"/>
    </xf>
    <xf numFmtId="0" fontId="59" fillId="0" borderId="10" xfId="1" applyBorder="1" applyAlignment="1" applyProtection="1"/>
    <xf numFmtId="0" fontId="59" fillId="0" borderId="11" xfId="1" applyBorder="1" applyAlignment="1" applyProtection="1"/>
    <xf numFmtId="0" fontId="45" fillId="3" borderId="12" xfId="0" applyFont="1" applyFill="1" applyBorder="1" applyAlignment="1" applyProtection="1">
      <alignment horizontal="center"/>
      <protection locked="0"/>
    </xf>
    <xf numFmtId="0" fontId="45" fillId="3" borderId="13" xfId="0" applyFont="1" applyFill="1" applyBorder="1" applyAlignment="1" applyProtection="1">
      <alignment horizontal="center"/>
      <protection locked="0"/>
    </xf>
    <xf numFmtId="0" fontId="48" fillId="2" borderId="1" xfId="0" applyFont="1" applyFill="1" applyBorder="1" applyAlignment="1" applyProtection="1">
      <alignment horizontal="center" wrapText="1"/>
      <protection hidden="1"/>
    </xf>
    <xf numFmtId="0" fontId="48" fillId="2" borderId="2" xfId="0" applyFont="1" applyFill="1" applyBorder="1" applyAlignment="1" applyProtection="1">
      <alignment horizontal="center" wrapText="1"/>
      <protection hidden="1"/>
    </xf>
    <xf numFmtId="0" fontId="48" fillId="2" borderId="3" xfId="0" applyFont="1" applyFill="1" applyBorder="1" applyAlignment="1" applyProtection="1">
      <alignment horizontal="center" wrapText="1"/>
      <protection hidden="1"/>
    </xf>
    <xf numFmtId="0" fontId="49" fillId="2" borderId="4" xfId="0" applyFont="1" applyFill="1" applyBorder="1" applyAlignment="1" applyProtection="1">
      <alignment horizontal="center"/>
      <protection hidden="1"/>
    </xf>
    <xf numFmtId="0" fontId="49" fillId="2" borderId="0" xfId="0" applyFont="1" applyFill="1" applyAlignment="1" applyProtection="1">
      <alignment horizontal="center"/>
      <protection hidden="1"/>
    </xf>
    <xf numFmtId="0" fontId="49" fillId="2" borderId="5" xfId="0" applyFont="1" applyFill="1" applyBorder="1" applyAlignment="1" applyProtection="1">
      <alignment horizontal="center"/>
      <protection hidden="1"/>
    </xf>
    <xf numFmtId="0" fontId="41" fillId="3" borderId="9" xfId="0" applyFont="1" applyFill="1" applyBorder="1" applyAlignment="1" applyProtection="1">
      <alignment horizontal="center"/>
      <protection locked="0"/>
    </xf>
    <xf numFmtId="0" fontId="45" fillId="3" borderId="10" xfId="0" applyFont="1" applyFill="1" applyBorder="1" applyAlignment="1" applyProtection="1">
      <alignment horizontal="center"/>
      <protection locked="0"/>
    </xf>
    <xf numFmtId="0" fontId="45" fillId="3" borderId="11" xfId="0" applyFont="1" applyFill="1" applyBorder="1" applyAlignment="1" applyProtection="1">
      <alignment horizontal="center"/>
      <protection locked="0"/>
    </xf>
    <xf numFmtId="14" fontId="133" fillId="0" borderId="1" xfId="0" applyNumberFormat="1" applyFont="1" applyBorder="1" applyAlignment="1" applyProtection="1">
      <alignment horizontal="center"/>
      <protection hidden="1"/>
    </xf>
    <xf numFmtId="0" fontId="133" fillId="0" borderId="2" xfId="0" applyFont="1" applyBorder="1" applyAlignment="1">
      <alignment horizontal="center"/>
    </xf>
    <xf numFmtId="180" fontId="45" fillId="3" borderId="12" xfId="0" applyNumberFormat="1" applyFont="1" applyFill="1" applyBorder="1" applyAlignment="1" applyProtection="1">
      <alignment horizontal="center"/>
      <protection locked="0"/>
    </xf>
    <xf numFmtId="180" fontId="45" fillId="3" borderId="13" xfId="0" applyNumberFormat="1" applyFont="1" applyFill="1" applyBorder="1" applyAlignment="1" applyProtection="1">
      <alignment horizontal="center"/>
      <protection locked="0"/>
    </xf>
    <xf numFmtId="44" fontId="51" fillId="2" borderId="70" xfId="2" applyFont="1" applyFill="1" applyBorder="1" applyAlignment="1" applyProtection="1">
      <alignment horizontal="center"/>
    </xf>
    <xf numFmtId="44" fontId="51" fillId="2" borderId="64" xfId="2" applyFont="1" applyFill="1" applyBorder="1" applyAlignment="1" applyProtection="1">
      <alignment horizontal="center"/>
    </xf>
    <xf numFmtId="44" fontId="51" fillId="2" borderId="65" xfId="2" applyFont="1" applyFill="1" applyBorder="1" applyAlignment="1" applyProtection="1">
      <alignment horizontal="center"/>
    </xf>
    <xf numFmtId="0" fontId="0" fillId="0" borderId="0" xfId="0"/>
    <xf numFmtId="0" fontId="48" fillId="2" borderId="4" xfId="0" applyFont="1" applyFill="1" applyBorder="1" applyAlignment="1">
      <alignment horizontal="center"/>
    </xf>
    <xf numFmtId="0" fontId="48" fillId="2" borderId="0" xfId="0" applyFont="1" applyFill="1" applyAlignment="1">
      <alignment horizontal="center"/>
    </xf>
    <xf numFmtId="44" fontId="51" fillId="2" borderId="64" xfId="2" applyFont="1" applyFill="1" applyBorder="1" applyAlignment="1" applyProtection="1">
      <alignment horizontal="left"/>
    </xf>
    <xf numFmtId="44" fontId="51" fillId="2" borderId="65" xfId="2" applyFont="1" applyFill="1" applyBorder="1" applyAlignment="1" applyProtection="1">
      <alignment horizontal="left"/>
    </xf>
    <xf numFmtId="0" fontId="48" fillId="2" borderId="69" xfId="0" applyFont="1" applyFill="1" applyBorder="1" applyAlignment="1">
      <alignment horizontal="center"/>
    </xf>
    <xf numFmtId="0" fontId="48" fillId="2" borderId="64" xfId="0" applyFont="1" applyFill="1" applyBorder="1" applyAlignment="1">
      <alignment horizontal="center"/>
    </xf>
    <xf numFmtId="0" fontId="48" fillId="2" borderId="65" xfId="0" applyFont="1" applyFill="1" applyBorder="1" applyAlignment="1">
      <alignment horizontal="center"/>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0" xfId="0" applyFill="1" applyAlignment="1">
      <alignment horizontal="center" vertical="top" wrapText="1"/>
    </xf>
    <xf numFmtId="0" fontId="36" fillId="2" borderId="2" xfId="0" applyFont="1" applyFill="1" applyBorder="1" applyAlignment="1">
      <alignment horizontal="left"/>
    </xf>
    <xf numFmtId="49" fontId="36" fillId="2" borderId="7" xfId="0" applyNumberFormat="1" applyFont="1" applyFill="1" applyBorder="1" applyAlignment="1">
      <alignment horizontal="left"/>
    </xf>
    <xf numFmtId="0" fontId="36" fillId="2" borderId="2" xfId="0" applyFont="1" applyFill="1" applyBorder="1" applyAlignment="1">
      <alignment horizontal="center"/>
    </xf>
    <xf numFmtId="0" fontId="36" fillId="2" borderId="3" xfId="0" applyFont="1" applyFill="1" applyBorder="1" applyAlignment="1">
      <alignment horizontal="center"/>
    </xf>
    <xf numFmtId="14" fontId="36" fillId="2" borderId="7" xfId="0" applyNumberFormat="1" applyFont="1" applyFill="1" applyBorder="1" applyAlignment="1">
      <alignment horizontal="center"/>
    </xf>
    <xf numFmtId="14" fontId="36" fillId="2" borderId="8" xfId="0" applyNumberFormat="1" applyFont="1" applyFill="1" applyBorder="1" applyAlignment="1">
      <alignment horizontal="center"/>
    </xf>
    <xf numFmtId="177" fontId="51" fillId="6" borderId="132" xfId="0" applyNumberFormat="1" applyFont="1" applyFill="1" applyBorder="1" applyAlignment="1">
      <alignment horizontal="center" wrapText="1"/>
    </xf>
    <xf numFmtId="177" fontId="51" fillId="6" borderId="10" xfId="0" applyNumberFormat="1" applyFont="1" applyFill="1" applyBorder="1" applyAlignment="1">
      <alignment horizontal="center" wrapText="1"/>
    </xf>
    <xf numFmtId="177" fontId="51" fillId="6" borderId="11" xfId="0" applyNumberFormat="1" applyFont="1" applyFill="1" applyBorder="1" applyAlignment="1">
      <alignment horizontal="center" wrapText="1"/>
    </xf>
    <xf numFmtId="14" fontId="0" fillId="6" borderId="0" xfId="0" applyNumberFormat="1" applyFill="1" applyAlignment="1">
      <alignment horizontal="center"/>
    </xf>
    <xf numFmtId="0" fontId="0" fillId="6" borderId="0" xfId="0" applyFill="1" applyAlignment="1">
      <alignment horizontal="center"/>
    </xf>
    <xf numFmtId="0" fontId="0" fillId="6" borderId="0" xfId="0" applyFill="1" applyAlignment="1">
      <alignment horizontal="left"/>
    </xf>
    <xf numFmtId="0" fontId="49" fillId="2" borderId="1"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0" fillId="31" borderId="0" xfId="0" applyFill="1" applyAlignment="1">
      <alignment horizontal="center"/>
    </xf>
    <xf numFmtId="165" fontId="91" fillId="16" borderId="24" xfId="0" applyNumberFormat="1" applyFont="1" applyFill="1" applyBorder="1" applyAlignment="1">
      <alignment horizontal="center"/>
    </xf>
    <xf numFmtId="165" fontId="91" fillId="16" borderId="75" xfId="0" applyNumberFormat="1" applyFont="1" applyFill="1" applyBorder="1" applyAlignment="1">
      <alignment horizontal="center"/>
    </xf>
    <xf numFmtId="165" fontId="91" fillId="16" borderId="88" xfId="0" applyNumberFormat="1" applyFont="1" applyFill="1" applyBorder="1" applyAlignment="1">
      <alignment horizontal="center"/>
    </xf>
    <xf numFmtId="44" fontId="91" fillId="16" borderId="24" xfId="0" applyNumberFormat="1" applyFont="1" applyFill="1" applyBorder="1" applyAlignment="1">
      <alignment horizontal="left"/>
    </xf>
    <xf numFmtId="44" fontId="91" fillId="16" borderId="75" xfId="0" applyNumberFormat="1" applyFont="1" applyFill="1" applyBorder="1" applyAlignment="1">
      <alignment horizontal="left"/>
    </xf>
    <xf numFmtId="44" fontId="91" fillId="16" borderId="88" xfId="0" applyNumberFormat="1" applyFont="1" applyFill="1" applyBorder="1" applyAlignment="1">
      <alignment horizontal="left"/>
    </xf>
    <xf numFmtId="185" fontId="91" fillId="16" borderId="118" xfId="0" applyNumberFormat="1" applyFont="1" applyFill="1" applyBorder="1" applyAlignment="1">
      <alignment horizontal="left"/>
    </xf>
    <xf numFmtId="185" fontId="91" fillId="16" borderId="119" xfId="0" applyNumberFormat="1" applyFont="1" applyFill="1" applyBorder="1" applyAlignment="1">
      <alignment horizontal="left"/>
    </xf>
    <xf numFmtId="185" fontId="91" fillId="16" borderId="120" xfId="0" applyNumberFormat="1" applyFont="1" applyFill="1" applyBorder="1" applyAlignment="1">
      <alignment horizontal="left"/>
    </xf>
    <xf numFmtId="0" fontId="0" fillId="16" borderId="20" xfId="0" applyFill="1" applyBorder="1" applyAlignment="1">
      <alignment horizontal="center" vertical="center"/>
    </xf>
    <xf numFmtId="0" fontId="0" fillId="16" borderId="21" xfId="0" applyFill="1" applyBorder="1" applyAlignment="1">
      <alignment horizontal="center" vertical="center"/>
    </xf>
    <xf numFmtId="0" fontId="49" fillId="2" borderId="0" xfId="0" applyFont="1" applyFill="1" applyAlignment="1">
      <alignment horizontal="center"/>
    </xf>
    <xf numFmtId="0" fontId="49" fillId="2" borderId="5" xfId="0" applyFont="1" applyFill="1" applyBorder="1" applyAlignment="1">
      <alignment horizontal="center"/>
    </xf>
    <xf numFmtId="0" fontId="51" fillId="7" borderId="14" xfId="0" applyFont="1" applyFill="1" applyBorder="1" applyAlignment="1">
      <alignment horizontal="center" vertical="center"/>
    </xf>
    <xf numFmtId="165" fontId="32" fillId="0" borderId="20" xfId="0" applyNumberFormat="1" applyFont="1" applyBorder="1" applyAlignment="1">
      <alignment horizontal="center" vertical="center"/>
    </xf>
    <xf numFmtId="164" fontId="48" fillId="30" borderId="9" xfId="0" applyNumberFormat="1" applyFont="1" applyFill="1" applyBorder="1" applyAlignment="1">
      <alignment horizontal="center"/>
    </xf>
    <xf numFmtId="164" fontId="48" fillId="30" borderId="10" xfId="0" applyNumberFormat="1" applyFont="1" applyFill="1" applyBorder="1" applyAlignment="1">
      <alignment horizontal="center"/>
    </xf>
    <xf numFmtId="164" fontId="48" fillId="30" borderId="11" xfId="0" applyNumberFormat="1" applyFont="1" applyFill="1" applyBorder="1" applyAlignment="1">
      <alignment horizontal="center"/>
    </xf>
    <xf numFmtId="4" fontId="51" fillId="16" borderId="59" xfId="0" applyNumberFormat="1" applyFont="1" applyFill="1" applyBorder="1" applyAlignment="1">
      <alignment horizontal="left" vertical="top"/>
    </xf>
    <xf numFmtId="4" fontId="51" fillId="16" borderId="61" xfId="0" applyNumberFormat="1" applyFont="1" applyFill="1" applyBorder="1" applyAlignment="1">
      <alignment horizontal="left" vertical="top"/>
    </xf>
    <xf numFmtId="0" fontId="34" fillId="6" borderId="0" xfId="0" applyFont="1" applyFill="1" applyAlignment="1">
      <alignment horizontal="center"/>
    </xf>
    <xf numFmtId="164" fontId="48" fillId="34" borderId="9" xfId="0" applyNumberFormat="1" applyFont="1" applyFill="1" applyBorder="1" applyAlignment="1">
      <alignment horizontal="center"/>
    </xf>
    <xf numFmtId="164" fontId="48" fillId="34" borderId="10" xfId="0" applyNumberFormat="1" applyFont="1" applyFill="1" applyBorder="1" applyAlignment="1">
      <alignment horizontal="center"/>
    </xf>
    <xf numFmtId="164" fontId="48" fillId="34" borderId="11" xfId="0" applyNumberFormat="1" applyFont="1" applyFill="1" applyBorder="1" applyAlignment="1">
      <alignment horizontal="center"/>
    </xf>
    <xf numFmtId="0" fontId="75" fillId="6" borderId="20" xfId="0" applyFont="1" applyFill="1" applyBorder="1" applyAlignment="1">
      <alignment horizontal="center" vertical="center" wrapText="1"/>
    </xf>
    <xf numFmtId="0" fontId="75" fillId="6" borderId="21" xfId="0" applyFont="1" applyFill="1" applyBorder="1" applyAlignment="1">
      <alignment horizontal="center" vertical="center" wrapText="1"/>
    </xf>
    <xf numFmtId="0" fontId="51" fillId="6" borderId="0" xfId="0" applyFont="1" applyFill="1" applyAlignment="1">
      <alignment horizontal="left" vertical="top"/>
    </xf>
    <xf numFmtId="0" fontId="10" fillId="6" borderId="0" xfId="0" applyFont="1" applyFill="1" applyAlignment="1">
      <alignment horizontal="center" vertical="center" wrapText="1"/>
    </xf>
    <xf numFmtId="0" fontId="51" fillId="7" borderId="4" xfId="0" applyFont="1" applyFill="1" applyBorder="1" applyAlignment="1">
      <alignment horizontal="center" vertical="center"/>
    </xf>
    <xf numFmtId="0" fontId="51" fillId="7" borderId="0" xfId="0" applyFont="1" applyFill="1" applyAlignment="1">
      <alignment horizontal="center" vertical="center"/>
    </xf>
    <xf numFmtId="0" fontId="0" fillId="0" borderId="2" xfId="0" applyBorder="1" applyAlignment="1" applyProtection="1">
      <alignment wrapText="1"/>
      <protection hidden="1"/>
    </xf>
    <xf numFmtId="0" fontId="0" fillId="0" borderId="3" xfId="0" applyBorder="1" applyAlignment="1" applyProtection="1">
      <alignment wrapText="1"/>
      <protection hidden="1"/>
    </xf>
    <xf numFmtId="0" fontId="0" fillId="0" borderId="0" xfId="0" applyProtection="1">
      <protection hidden="1"/>
    </xf>
    <xf numFmtId="0" fontId="0" fillId="0" borderId="5" xfId="0" applyBorder="1" applyProtection="1">
      <protection hidden="1"/>
    </xf>
    <xf numFmtId="0" fontId="59" fillId="5" borderId="9" xfId="1" applyFill="1" applyBorder="1" applyAlignment="1" applyProtection="1">
      <alignment horizontal="center" wrapText="1"/>
      <protection hidden="1"/>
    </xf>
    <xf numFmtId="0" fontId="59" fillId="0" borderId="10" xfId="1" applyBorder="1" applyAlignment="1" applyProtection="1">
      <protection hidden="1"/>
    </xf>
    <xf numFmtId="0" fontId="59" fillId="0" borderId="11" xfId="1" applyBorder="1" applyAlignment="1" applyProtection="1">
      <protection hidden="1"/>
    </xf>
    <xf numFmtId="0" fontId="50" fillId="2" borderId="4" xfId="0" applyFont="1" applyFill="1" applyBorder="1" applyAlignment="1" applyProtection="1">
      <alignment horizontal="center"/>
      <protection hidden="1"/>
    </xf>
    <xf numFmtId="0" fontId="50" fillId="2" borderId="0" xfId="0" applyFont="1" applyFill="1" applyAlignment="1" applyProtection="1">
      <alignment horizontal="center"/>
      <protection hidden="1"/>
    </xf>
    <xf numFmtId="0" fontId="57" fillId="2" borderId="4" xfId="0" applyFont="1" applyFill="1" applyBorder="1" applyAlignment="1" applyProtection="1">
      <alignment horizontal="center"/>
      <protection hidden="1"/>
    </xf>
    <xf numFmtId="0" fontId="57" fillId="2" borderId="0" xfId="0" applyFont="1" applyFill="1" applyAlignment="1" applyProtection="1">
      <alignment horizontal="center"/>
      <protection hidden="1"/>
    </xf>
    <xf numFmtId="0" fontId="40" fillId="0" borderId="0" xfId="0" applyFont="1" applyProtection="1">
      <protection hidden="1"/>
    </xf>
    <xf numFmtId="0" fontId="40" fillId="0" borderId="5" xfId="0" applyFont="1" applyBorder="1" applyProtection="1">
      <protection hidden="1"/>
    </xf>
    <xf numFmtId="0" fontId="79" fillId="2" borderId="1" xfId="0" applyFont="1" applyFill="1" applyBorder="1" applyAlignment="1">
      <alignment horizontal="center"/>
    </xf>
    <xf numFmtId="0" fontId="79" fillId="2" borderId="2" xfId="0" applyFont="1" applyFill="1" applyBorder="1" applyAlignment="1">
      <alignment horizontal="center"/>
    </xf>
    <xf numFmtId="0" fontId="80" fillId="0" borderId="3" xfId="0" applyFont="1" applyBorder="1" applyAlignment="1">
      <alignment horizontal="center"/>
    </xf>
    <xf numFmtId="0" fontId="80" fillId="2" borderId="4" xfId="0" applyFont="1" applyFill="1" applyBorder="1" applyAlignment="1">
      <alignment horizontal="center" vertical="center"/>
    </xf>
    <xf numFmtId="0" fontId="80" fillId="2" borderId="0" xfId="0" applyFont="1" applyFill="1" applyAlignment="1">
      <alignment horizontal="center" vertical="center"/>
    </xf>
    <xf numFmtId="0" fontId="80" fillId="0" borderId="5" xfId="0" applyFont="1" applyBorder="1" applyAlignment="1">
      <alignment horizontal="center" vertical="center"/>
    </xf>
    <xf numFmtId="0" fontId="79" fillId="2" borderId="4" xfId="0" applyFont="1" applyFill="1" applyBorder="1" applyAlignment="1">
      <alignment horizontal="center"/>
    </xf>
    <xf numFmtId="0" fontId="79" fillId="2" borderId="0" xfId="0" applyFont="1" applyFill="1" applyAlignment="1">
      <alignment horizontal="center"/>
    </xf>
    <xf numFmtId="0" fontId="80" fillId="0" borderId="5" xfId="0" applyFont="1" applyBorder="1" applyAlignment="1">
      <alignment horizontal="center"/>
    </xf>
    <xf numFmtId="0" fontId="70" fillId="0" borderId="0" xfId="0" applyFont="1" applyAlignment="1">
      <alignment horizontal="center"/>
    </xf>
    <xf numFmtId="0" fontId="70" fillId="0" borderId="30" xfId="0" applyFont="1" applyBorder="1" applyAlignment="1">
      <alignment horizontal="center"/>
    </xf>
    <xf numFmtId="0" fontId="70" fillId="0" borderId="31" xfId="0" applyFont="1" applyBorder="1" applyAlignment="1">
      <alignment horizontal="center"/>
    </xf>
    <xf numFmtId="0" fontId="57" fillId="0" borderId="2" xfId="0" applyFont="1" applyBorder="1" applyAlignment="1">
      <alignment horizontal="center"/>
    </xf>
    <xf numFmtId="0" fontId="57" fillId="0" borderId="7" xfId="0" applyFont="1" applyBorder="1" applyAlignment="1">
      <alignment horizontal="center"/>
    </xf>
    <xf numFmtId="0" fontId="46" fillId="9" borderId="7" xfId="0" applyFont="1" applyFill="1" applyBorder="1" applyProtection="1">
      <protection locked="0"/>
    </xf>
    <xf numFmtId="0" fontId="71" fillId="0" borderId="0" xfId="0" applyFont="1" applyAlignment="1">
      <alignment horizontal="center" wrapText="1"/>
    </xf>
    <xf numFmtId="0" fontId="57" fillId="0" borderId="0" xfId="0" applyFont="1" applyAlignment="1">
      <alignment horizontal="left" vertical="top"/>
    </xf>
    <xf numFmtId="0" fontId="57" fillId="0" borderId="0" xfId="0" applyFont="1" applyAlignment="1">
      <alignment horizontal="left"/>
    </xf>
    <xf numFmtId="0" fontId="0" fillId="9" borderId="0" xfId="0" applyFill="1" applyAlignment="1" applyProtection="1">
      <alignment horizontal="center" vertical="top" wrapText="1"/>
      <protection locked="0"/>
    </xf>
    <xf numFmtId="0" fontId="46" fillId="9" borderId="0" xfId="0" applyFont="1" applyFill="1" applyAlignment="1" applyProtection="1">
      <alignment horizontal="center" vertical="top" wrapText="1"/>
      <protection locked="0"/>
    </xf>
    <xf numFmtId="0" fontId="46" fillId="6" borderId="0" xfId="0" applyFont="1" applyFill="1" applyAlignment="1">
      <alignment horizontal="center"/>
    </xf>
    <xf numFmtId="0" fontId="49" fillId="2" borderId="1" xfId="0" applyFont="1" applyFill="1" applyBorder="1" applyAlignment="1" applyProtection="1">
      <alignment horizontal="center" vertical="center" wrapText="1"/>
      <protection hidden="1"/>
    </xf>
    <xf numFmtId="0" fontId="49" fillId="2" borderId="2" xfId="0" applyFont="1" applyFill="1" applyBorder="1" applyAlignment="1" applyProtection="1">
      <alignment horizontal="center" vertical="center" wrapText="1"/>
      <protection hidden="1"/>
    </xf>
    <xf numFmtId="0" fontId="49" fillId="2" borderId="4" xfId="0" applyFont="1" applyFill="1" applyBorder="1" applyAlignment="1" applyProtection="1">
      <alignment horizontal="center" vertical="center" wrapText="1"/>
      <protection hidden="1"/>
    </xf>
    <xf numFmtId="0" fontId="49" fillId="2" borderId="0" xfId="0" applyFont="1" applyFill="1" applyAlignment="1" applyProtection="1">
      <alignment horizontal="center" vertical="center" wrapText="1"/>
      <protection hidden="1"/>
    </xf>
    <xf numFmtId="0" fontId="0" fillId="0" borderId="5" xfId="0" applyBorder="1" applyAlignment="1" applyProtection="1">
      <alignment wrapText="1"/>
      <protection hidden="1"/>
    </xf>
    <xf numFmtId="0" fontId="51" fillId="2" borderId="0" xfId="0" applyFont="1" applyFill="1" applyAlignment="1" applyProtection="1">
      <alignment horizontal="left"/>
      <protection hidden="1"/>
    </xf>
    <xf numFmtId="0" fontId="36" fillId="7" borderId="0" xfId="0" applyFont="1" applyFill="1" applyAlignment="1" applyProtection="1">
      <alignment horizontal="left"/>
      <protection hidden="1"/>
    </xf>
    <xf numFmtId="0" fontId="16" fillId="6" borderId="0" xfId="0" applyFont="1" applyFill="1" applyAlignment="1" applyProtection="1">
      <alignment horizontal="left" vertical="top" wrapText="1"/>
      <protection hidden="1"/>
    </xf>
    <xf numFmtId="0" fontId="18" fillId="6" borderId="0" xfId="0" applyFont="1" applyFill="1" applyAlignment="1" applyProtection="1">
      <alignment horizontal="left" vertical="top"/>
      <protection hidden="1"/>
    </xf>
    <xf numFmtId="0" fontId="51" fillId="16" borderId="14" xfId="0" applyFont="1" applyFill="1" applyBorder="1" applyAlignment="1" applyProtection="1">
      <alignment horizontal="left"/>
      <protection hidden="1"/>
    </xf>
    <xf numFmtId="0" fontId="51" fillId="2" borderId="12" xfId="0" applyFont="1" applyFill="1" applyBorder="1" applyAlignment="1" applyProtection="1">
      <alignment horizontal="center" vertical="center"/>
      <protection hidden="1"/>
    </xf>
    <xf numFmtId="0" fontId="51" fillId="2" borderId="18" xfId="0" applyFont="1" applyFill="1" applyBorder="1" applyAlignment="1" applyProtection="1">
      <alignment horizontal="center" vertical="center"/>
      <protection hidden="1"/>
    </xf>
    <xf numFmtId="0" fontId="51" fillId="16" borderId="0" xfId="0" applyFont="1" applyFill="1" applyAlignment="1" applyProtection="1">
      <alignment horizontal="left"/>
      <protection hidden="1"/>
    </xf>
    <xf numFmtId="0" fontId="51" fillId="16" borderId="12" xfId="0" applyFont="1" applyFill="1" applyBorder="1" applyAlignment="1" applyProtection="1">
      <alignment horizontal="center"/>
      <protection hidden="1"/>
    </xf>
    <xf numFmtId="0" fontId="51" fillId="16" borderId="18" xfId="0" applyFont="1" applyFill="1" applyBorder="1" applyAlignment="1" applyProtection="1">
      <alignment horizontal="center"/>
      <protection hidden="1"/>
    </xf>
    <xf numFmtId="0" fontId="51" fillId="16" borderId="13" xfId="0" applyFont="1" applyFill="1" applyBorder="1" applyAlignment="1" applyProtection="1">
      <alignment horizontal="center"/>
      <protection hidden="1"/>
    </xf>
    <xf numFmtId="0" fontId="16" fillId="0" borderId="8" xfId="0" applyFont="1" applyBorder="1" applyAlignment="1">
      <alignment horizontal="left" vertical="top"/>
    </xf>
    <xf numFmtId="0" fontId="16" fillId="0" borderId="13" xfId="0" applyFont="1" applyBorder="1" applyAlignment="1">
      <alignment horizontal="left" vertical="top"/>
    </xf>
    <xf numFmtId="0" fontId="17" fillId="0" borderId="3" xfId="0" applyFont="1" applyBorder="1" applyAlignment="1">
      <alignment horizontal="left" vertical="top"/>
    </xf>
    <xf numFmtId="14" fontId="17" fillId="0" borderId="20" xfId="0" applyNumberFormat="1" applyFont="1" applyBorder="1" applyAlignment="1">
      <alignment horizontal="center" vertical="top"/>
    </xf>
    <xf numFmtId="14" fontId="17" fillId="0" borderId="19" xfId="0" applyNumberFormat="1" applyFont="1" applyBorder="1" applyAlignment="1">
      <alignment horizontal="center" vertical="top"/>
    </xf>
    <xf numFmtId="14" fontId="17" fillId="0" borderId="21" xfId="0" applyNumberFormat="1" applyFont="1" applyBorder="1" applyAlignment="1">
      <alignment horizontal="center" vertical="top"/>
    </xf>
    <xf numFmtId="0" fontId="129" fillId="32" borderId="0" xfId="18" applyFont="1" applyFill="1" applyAlignment="1">
      <alignment horizontal="center" vertical="center" wrapText="1"/>
    </xf>
    <xf numFmtId="0" fontId="0" fillId="0" borderId="0" xfId="0" applyAlignment="1">
      <alignment vertical="center" wrapText="1"/>
    </xf>
    <xf numFmtId="0" fontId="29" fillId="0" borderId="3" xfId="0" applyFont="1"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14" fontId="17" fillId="0" borderId="20" xfId="0" applyNumberFormat="1" applyFont="1" applyBorder="1" applyAlignment="1">
      <alignment horizontal="center" vertical="top" wrapText="1"/>
    </xf>
    <xf numFmtId="14" fontId="17" fillId="0" borderId="19" xfId="0" applyNumberFormat="1" applyFont="1" applyBorder="1" applyAlignment="1">
      <alignment horizontal="center" vertical="top" wrapText="1"/>
    </xf>
    <xf numFmtId="14" fontId="17" fillId="0" borderId="21" xfId="0" applyNumberFormat="1" applyFont="1" applyBorder="1" applyAlignment="1">
      <alignment horizontal="center" vertical="top" wrapText="1"/>
    </xf>
    <xf numFmtId="0" fontId="17" fillId="0" borderId="5" xfId="0" applyFont="1" applyBorder="1" applyAlignment="1">
      <alignment horizontal="left" vertical="top"/>
    </xf>
    <xf numFmtId="9" fontId="0" fillId="6" borderId="14" xfId="0" applyNumberFormat="1" applyFill="1" applyBorder="1" applyAlignment="1">
      <alignment horizontal="center"/>
    </xf>
    <xf numFmtId="9" fontId="0" fillId="16" borderId="14" xfId="0" applyNumberFormat="1" applyFill="1" applyBorder="1" applyAlignment="1">
      <alignment horizontal="center"/>
    </xf>
    <xf numFmtId="0" fontId="0" fillId="16" borderId="14" xfId="0" applyFill="1" applyBorder="1" applyAlignment="1">
      <alignment horizontal="center"/>
    </xf>
    <xf numFmtId="0" fontId="51" fillId="16" borderId="70" xfId="0" applyFont="1" applyFill="1" applyBorder="1" applyAlignment="1">
      <alignment horizontal="center" wrapText="1"/>
    </xf>
    <xf numFmtId="0" fontId="51" fillId="16" borderId="64" xfId="0" applyFont="1" applyFill="1" applyBorder="1" applyAlignment="1">
      <alignment horizontal="center" wrapText="1"/>
    </xf>
    <xf numFmtId="0" fontId="51" fillId="16" borderId="65" xfId="0" applyFont="1" applyFill="1" applyBorder="1" applyAlignment="1">
      <alignment horizontal="center" wrapText="1"/>
    </xf>
    <xf numFmtId="0" fontId="75" fillId="0" borderId="0" xfId="0" applyFont="1" applyAlignment="1">
      <alignment horizontal="center" wrapText="1"/>
    </xf>
    <xf numFmtId="0" fontId="75" fillId="0" borderId="30" xfId="0" applyFont="1" applyBorder="1" applyAlignment="1">
      <alignment horizontal="center" wrapText="1"/>
    </xf>
    <xf numFmtId="0" fontId="117" fillId="6" borderId="43" xfId="0" applyFont="1" applyFill="1" applyBorder="1" applyAlignment="1">
      <alignment horizontal="center"/>
    </xf>
    <xf numFmtId="0" fontId="117" fillId="6" borderId="78" xfId="0" applyFont="1" applyFill="1" applyBorder="1" applyAlignment="1">
      <alignment horizontal="center"/>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76" xfId="0" applyBorder="1" applyAlignment="1">
      <alignment horizontal="center"/>
    </xf>
    <xf numFmtId="0" fontId="0" fillId="0" borderId="37" xfId="0" applyBorder="1" applyAlignment="1">
      <alignment horizontal="center"/>
    </xf>
    <xf numFmtId="0" fontId="0" fillId="0" borderId="77" xfId="0" applyBorder="1" applyAlignment="1">
      <alignment horizontal="center"/>
    </xf>
    <xf numFmtId="0" fontId="0" fillId="0" borderId="69" xfId="0" applyBorder="1" applyAlignment="1">
      <alignment horizontal="center"/>
    </xf>
    <xf numFmtId="0" fontId="47" fillId="7" borderId="62" xfId="0" applyFont="1" applyFill="1" applyBorder="1" applyAlignment="1">
      <alignment horizontal="left" vertical="top" wrapText="1"/>
    </xf>
    <xf numFmtId="0" fontId="51" fillId="26" borderId="9" xfId="0" applyFont="1" applyFill="1" applyBorder="1" applyAlignment="1">
      <alignment horizontal="center"/>
    </xf>
    <xf numFmtId="0" fontId="51" fillId="26" borderId="10" xfId="0" applyFont="1" applyFill="1" applyBorder="1" applyAlignment="1">
      <alignment horizontal="center"/>
    </xf>
    <xf numFmtId="0" fontId="51" fillId="26" borderId="11" xfId="0" applyFont="1" applyFill="1" applyBorder="1" applyAlignment="1">
      <alignment horizontal="center"/>
    </xf>
    <xf numFmtId="0" fontId="57" fillId="6" borderId="9" xfId="0" applyFont="1" applyFill="1" applyBorder="1" applyAlignment="1">
      <alignment horizontal="left"/>
    </xf>
    <xf numFmtId="0" fontId="57" fillId="6" borderId="11" xfId="0" applyFont="1" applyFill="1" applyBorder="1" applyAlignment="1">
      <alignment horizontal="left"/>
    </xf>
    <xf numFmtId="10" fontId="52" fillId="8" borderId="0" xfId="0" applyNumberFormat="1" applyFont="1" applyFill="1" applyAlignment="1" applyProtection="1">
      <alignment horizontal="center"/>
      <protection hidden="1"/>
    </xf>
    <xf numFmtId="2" fontId="62" fillId="8" borderId="71" xfId="0" applyNumberFormat="1" applyFont="1" applyFill="1" applyBorder="1" applyAlignment="1" applyProtection="1">
      <alignment horizontal="center" vertical="center"/>
      <protection hidden="1"/>
    </xf>
    <xf numFmtId="2" fontId="62" fillId="8" borderId="72" xfId="0" applyNumberFormat="1" applyFont="1" applyFill="1" applyBorder="1" applyAlignment="1" applyProtection="1">
      <alignment horizontal="center" vertical="center"/>
      <protection hidden="1"/>
    </xf>
    <xf numFmtId="2" fontId="72" fillId="8" borderId="49" xfId="0" applyNumberFormat="1" applyFont="1" applyFill="1" applyBorder="1" applyAlignment="1" applyProtection="1">
      <alignment horizontal="center" vertical="center"/>
      <protection hidden="1"/>
    </xf>
    <xf numFmtId="2" fontId="72" fillId="8" borderId="51" xfId="0" applyNumberFormat="1" applyFont="1" applyFill="1" applyBorder="1" applyAlignment="1" applyProtection="1">
      <alignment horizontal="center" vertical="center"/>
      <protection hidden="1"/>
    </xf>
    <xf numFmtId="2" fontId="72" fillId="8" borderId="50" xfId="0" applyNumberFormat="1" applyFont="1" applyFill="1" applyBorder="1" applyAlignment="1" applyProtection="1">
      <alignment horizontal="center" vertical="center"/>
      <protection hidden="1"/>
    </xf>
    <xf numFmtId="0" fontId="51" fillId="8" borderId="56" xfId="0" applyFont="1" applyFill="1" applyBorder="1" applyAlignment="1" applyProtection="1">
      <alignment horizontal="center" vertical="center"/>
      <protection hidden="1"/>
    </xf>
    <xf numFmtId="0" fontId="51" fillId="8" borderId="57" xfId="0" applyFont="1" applyFill="1" applyBorder="1" applyAlignment="1" applyProtection="1">
      <alignment horizontal="center" vertical="center"/>
      <protection hidden="1"/>
    </xf>
    <xf numFmtId="0" fontId="49" fillId="2" borderId="1" xfId="0" applyFont="1" applyFill="1" applyBorder="1" applyAlignment="1">
      <alignment wrapText="1"/>
    </xf>
    <xf numFmtId="0" fontId="49" fillId="2" borderId="2" xfId="0" applyFont="1" applyFill="1" applyBorder="1"/>
    <xf numFmtId="0" fontId="49" fillId="2" borderId="3" xfId="0" applyFont="1" applyFill="1" applyBorder="1"/>
    <xf numFmtId="0" fontId="49" fillId="2" borderId="4" xfId="0" applyFont="1" applyFill="1" applyBorder="1"/>
    <xf numFmtId="0" fontId="49" fillId="2" borderId="0" xfId="0" applyFont="1" applyFill="1"/>
    <xf numFmtId="0" fontId="49" fillId="2" borderId="5" xfId="0" applyFont="1" applyFill="1" applyBorder="1"/>
    <xf numFmtId="0" fontId="49" fillId="2" borderId="6" xfId="0" applyFont="1" applyFill="1" applyBorder="1"/>
    <xf numFmtId="0" fontId="49" fillId="2" borderId="7" xfId="0" applyFont="1" applyFill="1" applyBorder="1"/>
    <xf numFmtId="0" fontId="49" fillId="2" borderId="8" xfId="0" applyFont="1" applyFill="1" applyBorder="1"/>
    <xf numFmtId="0" fontId="46" fillId="6" borderId="4" xfId="0" applyFont="1" applyFill="1" applyBorder="1"/>
  </cellXfs>
  <cellStyles count="19">
    <cellStyle name="40% - Akzent1 2" xfId="6" xr:uid="{00000000-0005-0000-0000-000000000000}"/>
    <cellStyle name="40% - Akzent3 2" xfId="7" xr:uid="{00000000-0005-0000-0000-000001000000}"/>
    <cellStyle name="Datum" xfId="8" xr:uid="{00000000-0005-0000-0000-000002000000}"/>
    <cellStyle name="Eingabe 2" xfId="4" xr:uid="{00000000-0005-0000-0000-000003000000}"/>
    <cellStyle name="Eingabe 2 2" xfId="9" xr:uid="{00000000-0005-0000-0000-000004000000}"/>
    <cellStyle name="Eingabe 3" xfId="10" xr:uid="{00000000-0005-0000-0000-000005000000}"/>
    <cellStyle name="Formelfeld" xfId="11" xr:uid="{00000000-0005-0000-0000-000006000000}"/>
    <cellStyle name="Formular" xfId="12" xr:uid="{00000000-0005-0000-0000-000007000000}"/>
    <cellStyle name="Komma 2" xfId="17" xr:uid="{00000000-0005-0000-0000-000008000000}"/>
    <cellStyle name="Link" xfId="1" builtinId="8"/>
    <cellStyle name="Prozent" xfId="3" builtinId="5"/>
    <cellStyle name="Prozent 2" xfId="5" xr:uid="{00000000-0005-0000-0000-00000B000000}"/>
    <cellStyle name="Standard" xfId="0" builtinId="0"/>
    <cellStyle name="Standard 2" xfId="13" xr:uid="{00000000-0005-0000-0000-00000D000000}"/>
    <cellStyle name="Standard 4" xfId="18" xr:uid="{00000000-0005-0000-0000-00000E000000}"/>
    <cellStyle name="Stunden" xfId="14" xr:uid="{00000000-0005-0000-0000-00000F000000}"/>
    <cellStyle name="Text" xfId="15" xr:uid="{00000000-0005-0000-0000-000010000000}"/>
    <cellStyle name="VZK" xfId="16" xr:uid="{00000000-0005-0000-0000-000011000000}"/>
    <cellStyle name="Währung" xfId="2" builtinId="4"/>
  </cellStyles>
  <dxfs count="102">
    <dxf>
      <font>
        <color theme="0"/>
      </font>
      <fill>
        <patternFill patternType="none">
          <bgColor auto="1"/>
        </patternFill>
      </fill>
      <border>
        <right/>
        <top/>
        <bottom/>
        <vertical/>
        <horizontal/>
      </border>
    </dxf>
    <dxf>
      <font>
        <color theme="0"/>
      </font>
      <fill>
        <patternFill>
          <bgColor theme="0"/>
        </patternFill>
      </fill>
      <border>
        <right/>
        <top/>
        <bottom/>
        <vertical/>
        <horizontal/>
      </border>
    </dxf>
    <dxf>
      <fill>
        <patternFill>
          <bgColor theme="0" tint="-0.14996795556505021"/>
        </patternFill>
      </fill>
    </dxf>
    <dxf>
      <font>
        <color theme="0" tint="-0.14996795556505021"/>
      </font>
      <fill>
        <patternFill>
          <bgColor theme="0" tint="-0.14996795556505021"/>
        </patternFill>
      </fill>
    </dxf>
    <dxf>
      <font>
        <color theme="0"/>
      </font>
      <fill>
        <patternFill>
          <bgColor theme="0"/>
        </patternFill>
      </fill>
      <border>
        <left/>
        <right/>
        <top/>
        <bottom/>
        <vertical/>
        <horizontal/>
      </border>
    </dxf>
    <dxf>
      <font>
        <color theme="0" tint="-4.9989318521683403E-2"/>
      </font>
      <fill>
        <patternFill>
          <bgColor theme="0" tint="-0.14996795556505021"/>
        </patternFill>
      </fill>
    </dxf>
    <dxf>
      <font>
        <color theme="0"/>
      </font>
      <border>
        <left/>
        <right/>
        <top style="thin">
          <color auto="1"/>
        </top>
        <bottom/>
        <vertical/>
        <horizontal/>
      </border>
    </dxf>
    <dxf>
      <font>
        <color theme="0"/>
      </font>
      <fill>
        <patternFill>
          <bgColor theme="0"/>
        </patternFill>
      </fill>
      <border>
        <left/>
        <right/>
        <top style="thin">
          <color auto="1"/>
        </top>
        <bottom/>
        <vertical/>
        <horizontal/>
      </border>
    </dxf>
    <dxf>
      <font>
        <color theme="0"/>
      </font>
      <border>
        <left/>
        <right/>
        <top style="thin">
          <color auto="1"/>
        </top>
        <bottom/>
        <vertical/>
        <horizontal/>
      </border>
    </dxf>
    <dxf>
      <font>
        <color theme="0"/>
      </font>
      <border>
        <left/>
        <right/>
        <top style="thin">
          <color auto="1"/>
        </top>
        <bottom/>
        <vertical/>
        <horizontal/>
      </border>
    </dxf>
    <dxf>
      <fill>
        <patternFill>
          <bgColor theme="0"/>
        </patternFill>
      </fill>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font>
    </dxf>
    <dxf>
      <font>
        <color theme="0"/>
      </font>
      <fill>
        <patternFill>
          <bgColor theme="0"/>
        </patternFill>
      </fill>
      <border>
        <left/>
        <right/>
        <top/>
        <bottom/>
        <vertical/>
        <horizontal/>
      </border>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tint="-4.9989318521683403E-2"/>
      </font>
      <fill>
        <patternFill>
          <bgColor theme="0" tint="-4.9989318521683403E-2"/>
        </patternFill>
      </fill>
    </dxf>
    <dxf>
      <fill>
        <patternFill>
          <bgColor theme="0"/>
        </patternFill>
      </fill>
    </dxf>
    <dxf>
      <font>
        <color theme="0"/>
      </font>
    </dxf>
    <dxf>
      <font>
        <color theme="0"/>
      </font>
    </dxf>
    <dxf>
      <font>
        <color theme="0"/>
      </font>
    </dxf>
    <dxf>
      <font>
        <b/>
        <i val="0"/>
        <color rgb="FFFF0000"/>
      </font>
    </dxf>
    <dxf>
      <font>
        <b/>
        <i val="0"/>
        <color rgb="FFFF0000"/>
      </font>
    </dxf>
    <dxf>
      <font>
        <b/>
        <i val="0"/>
        <color rgb="FFFF0000"/>
      </font>
    </dxf>
    <dxf>
      <font>
        <color theme="0"/>
      </font>
      <fill>
        <patternFill>
          <bgColor theme="0" tint="-0.14996795556505021"/>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ill>
        <patternFill>
          <bgColor theme="0"/>
        </patternFill>
      </fill>
    </dxf>
    <dxf>
      <font>
        <b/>
        <i val="0"/>
        <color rgb="FFFF0000"/>
      </font>
    </dxf>
    <dxf>
      <font>
        <b/>
        <i val="0"/>
        <color rgb="FFFF0000"/>
      </font>
    </dxf>
    <dxf>
      <font>
        <b/>
        <i val="0"/>
        <color rgb="FFFF0000"/>
      </font>
    </dxf>
    <dxf>
      <font>
        <color theme="0"/>
      </font>
      <fill>
        <patternFill>
          <bgColor theme="0" tint="-0.1499679555650502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0.24994659260841701"/>
        </patternFill>
      </fill>
      <border>
        <left/>
        <right/>
        <top/>
        <bottom/>
        <vertical/>
        <horizontal/>
      </border>
    </dxf>
    <dxf>
      <font>
        <color theme="0"/>
      </font>
    </dxf>
    <dxf>
      <fill>
        <patternFill>
          <fgColor theme="0"/>
          <bgColor theme="0"/>
        </patternFill>
      </fill>
    </dxf>
    <dxf>
      <font>
        <color theme="0"/>
      </font>
      <fill>
        <patternFill>
          <fgColor theme="0"/>
          <bgColor theme="0"/>
        </patternFill>
      </fill>
      <border>
        <left style="thin">
          <color auto="1"/>
        </left>
        <right/>
        <top/>
        <bottom/>
        <vertical/>
        <horizontal/>
      </border>
    </dxf>
    <dxf>
      <font>
        <color theme="0" tint="-0.14996795556505021"/>
      </font>
      <fill>
        <patternFill>
          <fgColor theme="0"/>
          <bgColor theme="0" tint="-0.24994659260841701"/>
        </patternFill>
      </fill>
      <border>
        <left/>
        <right/>
        <top/>
        <bottom/>
        <vertical/>
        <horizontal/>
      </border>
    </dxf>
    <dxf>
      <font>
        <color theme="6" tint="0.59996337778862885"/>
      </font>
      <fill>
        <patternFill>
          <bgColor theme="6" tint="0.59996337778862885"/>
        </patternFill>
      </fill>
    </dxf>
    <dxf>
      <font>
        <color theme="0"/>
      </font>
      <fill>
        <patternFill>
          <fgColor theme="0"/>
          <bgColor theme="0"/>
        </patternFill>
      </fill>
      <border>
        <left style="thin">
          <color auto="1"/>
        </left>
        <right/>
        <top/>
        <bottom/>
        <vertical/>
        <horizontal/>
      </border>
    </dxf>
    <dxf>
      <font>
        <color theme="0" tint="-0.14996795556505021"/>
      </font>
      <fill>
        <patternFill>
          <fgColor theme="0"/>
          <bgColor theme="0" tint="-0.24994659260841701"/>
        </patternFill>
      </fill>
      <border>
        <left/>
        <right/>
        <top/>
        <bottom/>
        <vertical/>
        <horizontal/>
      </border>
    </dxf>
    <dxf>
      <font>
        <color theme="0"/>
      </font>
      <fill>
        <patternFill>
          <bgColor theme="0"/>
        </patternFill>
      </fill>
    </dxf>
    <dxf>
      <font>
        <color theme="0"/>
      </font>
      <fill>
        <patternFill>
          <bgColor theme="0"/>
        </patternFill>
      </fill>
    </dxf>
    <dxf>
      <fill>
        <patternFill>
          <fgColor theme="0"/>
        </patternFill>
      </fill>
      <border>
        <left/>
        <right/>
        <top/>
        <bottom/>
        <vertical/>
        <horizontal/>
      </border>
    </dxf>
    <dxf>
      <font>
        <color theme="0"/>
      </font>
      <fill>
        <patternFill>
          <bgColor theme="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theme="0"/>
          <bgColor theme="0"/>
        </patternFill>
      </fill>
      <border>
        <left/>
        <right style="thin">
          <color auto="1"/>
        </right>
        <top/>
        <bottom/>
        <vertical/>
        <horizontal/>
      </border>
    </dxf>
    <dxf>
      <font>
        <color theme="0"/>
      </font>
    </dxf>
    <dxf>
      <font>
        <color theme="0" tint="-4.9989318521683403E-2"/>
      </font>
      <fill>
        <patternFill>
          <bgColor theme="0" tint="-0.14996795556505021"/>
        </patternFill>
      </fill>
    </dxf>
    <dxf>
      <font>
        <color theme="0"/>
      </font>
      <fill>
        <patternFill>
          <fgColor theme="0"/>
          <bgColor theme="0"/>
        </patternFill>
      </fill>
      <border>
        <left/>
        <right/>
        <top/>
        <bottom/>
        <vertical/>
        <horizontal/>
      </border>
    </dxf>
    <dxf>
      <font>
        <color theme="0" tint="-0.14996795556505021"/>
      </font>
      <fill>
        <patternFill>
          <bgColor theme="0" tint="-0.24994659260841701"/>
        </patternFill>
      </fill>
      <border>
        <left style="thin">
          <color auto="1"/>
        </left>
        <right/>
        <top/>
        <bottom/>
        <vertical/>
        <horizontal/>
      </border>
    </dxf>
    <dxf>
      <border>
        <left/>
        <right/>
        <top/>
        <bottom/>
        <vertical/>
        <horizontal/>
      </border>
    </dxf>
    <dxf>
      <font>
        <color theme="0" tint="-0.14996795556505021"/>
      </font>
      <fill>
        <patternFill>
          <fgColor theme="0"/>
          <bgColor theme="0" tint="-0.24994659260841701"/>
        </patternFill>
      </fill>
      <border>
        <left/>
        <right/>
        <top/>
        <bottom/>
        <vertical/>
        <horizontal/>
      </border>
    </dxf>
    <dxf>
      <font>
        <color theme="0"/>
      </font>
      <fill>
        <patternFill>
          <fgColor theme="0"/>
          <bgColor theme="0"/>
        </patternFill>
      </fill>
      <border>
        <left style="thin">
          <color auto="1"/>
        </left>
        <right/>
        <top/>
        <bottom/>
        <vertical/>
        <horizontal/>
      </border>
    </dxf>
    <dxf>
      <font>
        <color theme="0" tint="-0.14996795556505021"/>
      </font>
      <fill>
        <patternFill>
          <fgColor theme="0"/>
          <bgColor theme="0" tint="-0.24994659260841701"/>
        </patternFill>
      </fill>
      <border>
        <left/>
        <right/>
        <top/>
        <bottom/>
        <vertical/>
        <horizontal/>
      </border>
    </dxf>
    <dxf>
      <font>
        <color theme="0"/>
      </font>
      <fill>
        <patternFill>
          <bgColor theme="0" tint="-0.14996795556505021"/>
        </patternFill>
      </fill>
    </dxf>
    <dxf>
      <font>
        <color theme="0" tint="-0.14996795556505021"/>
      </font>
      <fill>
        <patternFill>
          <bgColor theme="0" tint="-0.24994659260841701"/>
        </patternFill>
      </fill>
      <border>
        <left style="thin">
          <color auto="1"/>
        </left>
        <right/>
        <top/>
        <bottom/>
        <vertical/>
        <horizontal/>
      </border>
    </dxf>
    <dxf>
      <font>
        <color theme="0" tint="-0.14996795556505021"/>
      </font>
      <fill>
        <patternFill>
          <bgColor theme="0" tint="-0.24994659260841701"/>
        </patternFill>
      </fill>
    </dxf>
    <dxf>
      <font>
        <color theme="0" tint="-0.24994659260841701"/>
      </font>
      <fill>
        <patternFill>
          <bgColor theme="0" tint="-0.34998626667073579"/>
        </patternFill>
      </fill>
      <border>
        <left/>
        <right/>
        <top/>
        <bottom/>
      </border>
    </dxf>
    <dxf>
      <font>
        <color theme="0" tint="-4.9989318521683403E-2"/>
      </font>
      <fill>
        <patternFill>
          <bgColor theme="0" tint="-0.14996795556505021"/>
        </patternFill>
      </fill>
    </dxf>
    <dxf>
      <font>
        <color theme="0"/>
      </font>
      <fill>
        <patternFill>
          <bgColor theme="0"/>
        </patternFill>
      </fill>
    </dxf>
    <dxf>
      <fill>
        <patternFill>
          <bgColor theme="0"/>
        </patternFill>
      </fill>
    </dxf>
    <dxf>
      <font>
        <color theme="0"/>
      </font>
      <fill>
        <patternFill>
          <fgColor theme="0"/>
        </patternFill>
      </fill>
      <border>
        <vertical/>
        <horizontal/>
      </border>
    </dxf>
    <dxf>
      <font>
        <color theme="0"/>
      </font>
      <fill>
        <patternFill>
          <bgColor theme="0"/>
        </patternFill>
      </fill>
      <border>
        <left/>
        <right/>
        <bottom/>
      </border>
    </dxf>
    <dxf>
      <fill>
        <patternFill>
          <bgColor theme="0"/>
        </patternFill>
      </fill>
    </dxf>
    <dxf>
      <fill>
        <patternFill>
          <bgColor theme="0"/>
        </patternFill>
      </fill>
    </dxf>
    <dxf>
      <font>
        <color theme="0" tint="-4.9989318521683403E-2"/>
      </font>
      <fill>
        <patternFill>
          <bgColor theme="0" tint="-4.9989318521683403E-2"/>
        </patternFill>
      </fill>
      <border>
        <left/>
        <right/>
        <top/>
        <bottom/>
        <vertical/>
        <horizontal/>
      </border>
    </dxf>
    <dxf>
      <fill>
        <patternFill>
          <bgColor theme="0"/>
        </patternFill>
      </fill>
    </dxf>
    <dxf>
      <fill>
        <patternFill>
          <bgColor theme="0"/>
        </patternFill>
      </fill>
    </dxf>
  </dxfs>
  <tableStyles count="0" defaultTableStyle="TableStyleMedium2" defaultPivotStyle="PivotStyleLight16"/>
  <colors>
    <mruColors>
      <color rgb="FFCCECFF"/>
      <color rgb="FF99CCFF"/>
      <color rgb="FFFFF4CA"/>
      <color rgb="FFFBF7A7"/>
      <color rgb="FFFFFF99"/>
      <color rgb="FFFBFD95"/>
      <color rgb="FFFFFFCC"/>
      <color rgb="FFFF33CC"/>
      <color rgb="FFE7FBA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0</xdr:colOff>
      <xdr:row>36</xdr:row>
      <xdr:rowOff>88668</xdr:rowOff>
    </xdr:to>
    <xdr:pic>
      <xdr:nvPicPr>
        <xdr:cNvPr id="2" name="Grafik 1">
          <a:extLst>
            <a:ext uri="{FF2B5EF4-FFF2-40B4-BE49-F238E27FC236}">
              <a16:creationId xmlns:a16="http://schemas.microsoft.com/office/drawing/2014/main" id="{2EC63AB1-CABD-09D9-2BAF-97BA1B739EAE}"/>
            </a:ext>
          </a:extLst>
        </xdr:cNvPr>
        <xdr:cNvPicPr>
          <a:picLocks noChangeAspect="1"/>
        </xdr:cNvPicPr>
      </xdr:nvPicPr>
      <xdr:blipFill>
        <a:blip xmlns:r="http://schemas.openxmlformats.org/officeDocument/2006/relationships" r:embed="rId1"/>
        <a:stretch>
          <a:fillRect/>
        </a:stretch>
      </xdr:blipFill>
      <xdr:spPr>
        <a:xfrm>
          <a:off x="304800" y="1047750"/>
          <a:ext cx="5876925" cy="8280168"/>
        </a:xfrm>
        <a:prstGeom prst="rect">
          <a:avLst/>
        </a:prstGeom>
      </xdr:spPr>
    </xdr:pic>
    <xdr:clientData/>
  </xdr:twoCellAnchor>
  <xdr:twoCellAnchor editAs="oneCell">
    <xdr:from>
      <xdr:col>1</xdr:col>
      <xdr:colOff>1</xdr:colOff>
      <xdr:row>41</xdr:row>
      <xdr:rowOff>1</xdr:rowOff>
    </xdr:from>
    <xdr:to>
      <xdr:col>6</xdr:col>
      <xdr:colOff>1038225</xdr:colOff>
      <xdr:row>86</xdr:row>
      <xdr:rowOff>137662</xdr:rowOff>
    </xdr:to>
    <xdr:pic>
      <xdr:nvPicPr>
        <xdr:cNvPr id="3" name="Grafik 2">
          <a:extLst>
            <a:ext uri="{FF2B5EF4-FFF2-40B4-BE49-F238E27FC236}">
              <a16:creationId xmlns:a16="http://schemas.microsoft.com/office/drawing/2014/main" id="{BFE95BAF-6011-C0C0-EAF1-F9E434A79717}"/>
            </a:ext>
          </a:extLst>
        </xdr:cNvPr>
        <xdr:cNvPicPr>
          <a:picLocks noChangeAspect="1"/>
        </xdr:cNvPicPr>
      </xdr:nvPicPr>
      <xdr:blipFill>
        <a:blip xmlns:r="http://schemas.openxmlformats.org/officeDocument/2006/relationships" r:embed="rId2"/>
        <a:stretch>
          <a:fillRect/>
        </a:stretch>
      </xdr:blipFill>
      <xdr:spPr>
        <a:xfrm>
          <a:off x="304801" y="10153651"/>
          <a:ext cx="5867399" cy="8281536"/>
        </a:xfrm>
        <a:prstGeom prst="rect">
          <a:avLst/>
        </a:prstGeom>
      </xdr:spPr>
    </xdr:pic>
    <xdr:clientData/>
  </xdr:twoCellAnchor>
  <xdr:twoCellAnchor editAs="oneCell">
    <xdr:from>
      <xdr:col>1</xdr:col>
      <xdr:colOff>0</xdr:colOff>
      <xdr:row>93</xdr:row>
      <xdr:rowOff>0</xdr:rowOff>
    </xdr:from>
    <xdr:to>
      <xdr:col>6</xdr:col>
      <xdr:colOff>1019175</xdr:colOff>
      <xdr:row>138</xdr:row>
      <xdr:rowOff>121235</xdr:rowOff>
    </xdr:to>
    <xdr:pic>
      <xdr:nvPicPr>
        <xdr:cNvPr id="4" name="Grafik 3">
          <a:extLst>
            <a:ext uri="{FF2B5EF4-FFF2-40B4-BE49-F238E27FC236}">
              <a16:creationId xmlns:a16="http://schemas.microsoft.com/office/drawing/2014/main" id="{BFB68030-3F85-B8A7-5995-D86660DFD51A}"/>
            </a:ext>
          </a:extLst>
        </xdr:cNvPr>
        <xdr:cNvPicPr>
          <a:picLocks noChangeAspect="1"/>
        </xdr:cNvPicPr>
      </xdr:nvPicPr>
      <xdr:blipFill>
        <a:blip xmlns:r="http://schemas.openxmlformats.org/officeDocument/2006/relationships" r:embed="rId3"/>
        <a:stretch>
          <a:fillRect/>
        </a:stretch>
      </xdr:blipFill>
      <xdr:spPr>
        <a:xfrm>
          <a:off x="295275" y="19754850"/>
          <a:ext cx="5743575" cy="8265110"/>
        </a:xfrm>
        <a:prstGeom prst="rect">
          <a:avLst/>
        </a:prstGeom>
      </xdr:spPr>
    </xdr:pic>
    <xdr:clientData/>
  </xdr:twoCellAnchor>
  <xdr:twoCellAnchor editAs="oneCell">
    <xdr:from>
      <xdr:col>0</xdr:col>
      <xdr:colOff>304799</xdr:colOff>
      <xdr:row>144</xdr:row>
      <xdr:rowOff>180974</xdr:rowOff>
    </xdr:from>
    <xdr:to>
      <xdr:col>6</xdr:col>
      <xdr:colOff>1038225</xdr:colOff>
      <xdr:row>190</xdr:row>
      <xdr:rowOff>152503</xdr:rowOff>
    </xdr:to>
    <xdr:pic>
      <xdr:nvPicPr>
        <xdr:cNvPr id="5" name="Grafik 4">
          <a:extLst>
            <a:ext uri="{FF2B5EF4-FFF2-40B4-BE49-F238E27FC236}">
              <a16:creationId xmlns:a16="http://schemas.microsoft.com/office/drawing/2014/main" id="{6F427B6C-264C-3A97-51FA-CCA5C842F9C4}"/>
            </a:ext>
          </a:extLst>
        </xdr:cNvPr>
        <xdr:cNvPicPr>
          <a:picLocks noChangeAspect="1"/>
        </xdr:cNvPicPr>
      </xdr:nvPicPr>
      <xdr:blipFill>
        <a:blip xmlns:r="http://schemas.openxmlformats.org/officeDocument/2006/relationships" r:embed="rId4"/>
        <a:stretch>
          <a:fillRect/>
        </a:stretch>
      </xdr:blipFill>
      <xdr:spPr>
        <a:xfrm>
          <a:off x="304799" y="29356049"/>
          <a:ext cx="5867401" cy="8296379"/>
        </a:xfrm>
        <a:prstGeom prst="rect">
          <a:avLst/>
        </a:prstGeom>
      </xdr:spPr>
    </xdr:pic>
    <xdr:clientData/>
  </xdr:twoCellAnchor>
  <xdr:twoCellAnchor editAs="oneCell">
    <xdr:from>
      <xdr:col>1</xdr:col>
      <xdr:colOff>0</xdr:colOff>
      <xdr:row>196</xdr:row>
      <xdr:rowOff>180974</xdr:rowOff>
    </xdr:from>
    <xdr:to>
      <xdr:col>6</xdr:col>
      <xdr:colOff>1038225</xdr:colOff>
      <xdr:row>242</xdr:row>
      <xdr:rowOff>137661</xdr:rowOff>
    </xdr:to>
    <xdr:pic>
      <xdr:nvPicPr>
        <xdr:cNvPr id="6" name="Grafik 5">
          <a:extLst>
            <a:ext uri="{FF2B5EF4-FFF2-40B4-BE49-F238E27FC236}">
              <a16:creationId xmlns:a16="http://schemas.microsoft.com/office/drawing/2014/main" id="{0B6E01C2-F644-7BB6-511B-9A7ED77DAA75}"/>
            </a:ext>
          </a:extLst>
        </xdr:cNvPr>
        <xdr:cNvPicPr>
          <a:picLocks noChangeAspect="1"/>
        </xdr:cNvPicPr>
      </xdr:nvPicPr>
      <xdr:blipFill>
        <a:blip xmlns:r="http://schemas.openxmlformats.org/officeDocument/2006/relationships" r:embed="rId5"/>
        <a:stretch>
          <a:fillRect/>
        </a:stretch>
      </xdr:blipFill>
      <xdr:spPr>
        <a:xfrm>
          <a:off x="304800" y="38957249"/>
          <a:ext cx="5867400" cy="8281537"/>
        </a:xfrm>
        <a:prstGeom prst="rect">
          <a:avLst/>
        </a:prstGeom>
      </xdr:spPr>
    </xdr:pic>
    <xdr:clientData/>
  </xdr:twoCellAnchor>
  <xdr:twoCellAnchor>
    <xdr:from>
      <xdr:col>3</xdr:col>
      <xdr:colOff>333375</xdr:colOff>
      <xdr:row>34</xdr:row>
      <xdr:rowOff>76200</xdr:rowOff>
    </xdr:from>
    <xdr:to>
      <xdr:col>4</xdr:col>
      <xdr:colOff>190500</xdr:colOff>
      <xdr:row>35</xdr:row>
      <xdr:rowOff>114300</xdr:rowOff>
    </xdr:to>
    <xdr:sp macro="" textlink="">
      <xdr:nvSpPr>
        <xdr:cNvPr id="7" name="Textfeld 6">
          <a:extLst>
            <a:ext uri="{FF2B5EF4-FFF2-40B4-BE49-F238E27FC236}">
              <a16:creationId xmlns:a16="http://schemas.microsoft.com/office/drawing/2014/main" id="{F2864503-215C-832E-4F3A-BB301F3E4DCD}"/>
            </a:ext>
          </a:extLst>
        </xdr:cNvPr>
        <xdr:cNvSpPr txBox="1"/>
      </xdr:nvSpPr>
      <xdr:spPr>
        <a:xfrm>
          <a:off x="2838450" y="8772525"/>
          <a:ext cx="69532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276226</xdr:colOff>
      <xdr:row>84</xdr:row>
      <xdr:rowOff>95251</xdr:rowOff>
    </xdr:from>
    <xdr:to>
      <xdr:col>4</xdr:col>
      <xdr:colOff>238126</xdr:colOff>
      <xdr:row>85</xdr:row>
      <xdr:rowOff>133351</xdr:rowOff>
    </xdr:to>
    <xdr:sp macro="" textlink="">
      <xdr:nvSpPr>
        <xdr:cNvPr id="8" name="Textfeld 7">
          <a:extLst>
            <a:ext uri="{FF2B5EF4-FFF2-40B4-BE49-F238E27FC236}">
              <a16:creationId xmlns:a16="http://schemas.microsoft.com/office/drawing/2014/main" id="{E8648037-15E5-406C-B7A2-9087CE65480B}"/>
            </a:ext>
          </a:extLst>
        </xdr:cNvPr>
        <xdr:cNvSpPr txBox="1"/>
      </xdr:nvSpPr>
      <xdr:spPr>
        <a:xfrm>
          <a:off x="2781301" y="18030826"/>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190500</xdr:colOff>
      <xdr:row>136</xdr:row>
      <xdr:rowOff>95250</xdr:rowOff>
    </xdr:from>
    <xdr:to>
      <xdr:col>4</xdr:col>
      <xdr:colOff>152400</xdr:colOff>
      <xdr:row>137</xdr:row>
      <xdr:rowOff>133350</xdr:rowOff>
    </xdr:to>
    <xdr:sp macro="" textlink="">
      <xdr:nvSpPr>
        <xdr:cNvPr id="9" name="Textfeld 8">
          <a:extLst>
            <a:ext uri="{FF2B5EF4-FFF2-40B4-BE49-F238E27FC236}">
              <a16:creationId xmlns:a16="http://schemas.microsoft.com/office/drawing/2014/main" id="{10EDCBAB-519F-43C1-8431-C747438219BA}"/>
            </a:ext>
          </a:extLst>
        </xdr:cNvPr>
        <xdr:cNvSpPr txBox="1"/>
      </xdr:nvSpPr>
      <xdr:spPr>
        <a:xfrm>
          <a:off x="2695575" y="27632025"/>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285749</xdr:colOff>
      <xdr:row>188</xdr:row>
      <xdr:rowOff>152399</xdr:rowOff>
    </xdr:from>
    <xdr:to>
      <xdr:col>4</xdr:col>
      <xdr:colOff>247649</xdr:colOff>
      <xdr:row>190</xdr:row>
      <xdr:rowOff>9524</xdr:rowOff>
    </xdr:to>
    <xdr:sp macro="" textlink="">
      <xdr:nvSpPr>
        <xdr:cNvPr id="10" name="Textfeld 9">
          <a:extLst>
            <a:ext uri="{FF2B5EF4-FFF2-40B4-BE49-F238E27FC236}">
              <a16:creationId xmlns:a16="http://schemas.microsoft.com/office/drawing/2014/main" id="{AB1D29FF-51F6-41CA-9D5F-28263AD11CA6}"/>
            </a:ext>
          </a:extLst>
        </xdr:cNvPr>
        <xdr:cNvSpPr txBox="1"/>
      </xdr:nvSpPr>
      <xdr:spPr>
        <a:xfrm>
          <a:off x="2790824" y="37290374"/>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3</xdr:col>
      <xdr:colOff>295275</xdr:colOff>
      <xdr:row>240</xdr:row>
      <xdr:rowOff>114299</xdr:rowOff>
    </xdr:from>
    <xdr:to>
      <xdr:col>4</xdr:col>
      <xdr:colOff>257175</xdr:colOff>
      <xdr:row>241</xdr:row>
      <xdr:rowOff>152399</xdr:rowOff>
    </xdr:to>
    <xdr:sp macro="" textlink="">
      <xdr:nvSpPr>
        <xdr:cNvPr id="11" name="Textfeld 10">
          <a:extLst>
            <a:ext uri="{FF2B5EF4-FFF2-40B4-BE49-F238E27FC236}">
              <a16:creationId xmlns:a16="http://schemas.microsoft.com/office/drawing/2014/main" id="{1F3D1688-8366-412C-A37B-E1E019ADD201}"/>
            </a:ext>
          </a:extLst>
        </xdr:cNvPr>
        <xdr:cNvSpPr txBox="1"/>
      </xdr:nvSpPr>
      <xdr:spPr>
        <a:xfrm>
          <a:off x="2800350" y="46853474"/>
          <a:ext cx="8001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828675</xdr:colOff>
          <xdr:row>41</xdr:row>
          <xdr:rowOff>38100</xdr:rowOff>
        </xdr:from>
        <xdr:to>
          <xdr:col>9</xdr:col>
          <xdr:colOff>66675</xdr:colOff>
          <xdr:row>43</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46</xdr:row>
          <xdr:rowOff>133350</xdr:rowOff>
        </xdr:from>
        <xdr:to>
          <xdr:col>12</xdr:col>
          <xdr:colOff>485775</xdr:colOff>
          <xdr:row>48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152400</xdr:colOff>
      <xdr:row>31</xdr:row>
      <xdr:rowOff>19050</xdr:rowOff>
    </xdr:from>
    <xdr:to>
      <xdr:col>8</xdr:col>
      <xdr:colOff>323850</xdr:colOff>
      <xdr:row>31</xdr:row>
      <xdr:rowOff>64769</xdr:rowOff>
    </xdr:to>
    <xdr:sp macro="" textlink="">
      <xdr:nvSpPr>
        <xdr:cNvPr id="2" name="Pfeil nach links 1">
          <a:extLst>
            <a:ext uri="{FF2B5EF4-FFF2-40B4-BE49-F238E27FC236}">
              <a16:creationId xmlns:a16="http://schemas.microsoft.com/office/drawing/2014/main" id="{00000000-0008-0000-0900-000002000000}"/>
            </a:ext>
          </a:extLst>
        </xdr:cNvPr>
        <xdr:cNvSpPr/>
      </xdr:nvSpPr>
      <xdr:spPr>
        <a:xfrm>
          <a:off x="13077825" y="10487025"/>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161925</xdr:colOff>
      <xdr:row>32</xdr:row>
      <xdr:rowOff>19050</xdr:rowOff>
    </xdr:from>
    <xdr:to>
      <xdr:col>8</xdr:col>
      <xdr:colOff>333375</xdr:colOff>
      <xdr:row>32</xdr:row>
      <xdr:rowOff>64769</xdr:rowOff>
    </xdr:to>
    <xdr:sp macro="" textlink="">
      <xdr:nvSpPr>
        <xdr:cNvPr id="3" name="Pfeil nach links 2">
          <a:extLst>
            <a:ext uri="{FF2B5EF4-FFF2-40B4-BE49-F238E27FC236}">
              <a16:creationId xmlns:a16="http://schemas.microsoft.com/office/drawing/2014/main" id="{00000000-0008-0000-0900-000003000000}"/>
            </a:ext>
          </a:extLst>
        </xdr:cNvPr>
        <xdr:cNvSpPr/>
      </xdr:nvSpPr>
      <xdr:spPr>
        <a:xfrm>
          <a:off x="13087350" y="1064895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152400</xdr:colOff>
      <xdr:row>33</xdr:row>
      <xdr:rowOff>28575</xdr:rowOff>
    </xdr:from>
    <xdr:to>
      <xdr:col>8</xdr:col>
      <xdr:colOff>323850</xdr:colOff>
      <xdr:row>33</xdr:row>
      <xdr:rowOff>74294</xdr:rowOff>
    </xdr:to>
    <xdr:sp macro="" textlink="">
      <xdr:nvSpPr>
        <xdr:cNvPr id="4" name="Pfeil nach links 3">
          <a:extLst>
            <a:ext uri="{FF2B5EF4-FFF2-40B4-BE49-F238E27FC236}">
              <a16:creationId xmlns:a16="http://schemas.microsoft.com/office/drawing/2014/main" id="{00000000-0008-0000-0900-000004000000}"/>
            </a:ext>
          </a:extLst>
        </xdr:cNvPr>
        <xdr:cNvSpPr/>
      </xdr:nvSpPr>
      <xdr:spPr>
        <a:xfrm>
          <a:off x="13077825" y="108204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twoCellAnchor>
    <xdr:from>
      <xdr:col>8</xdr:col>
      <xdr:colOff>171450</xdr:colOff>
      <xdr:row>34</xdr:row>
      <xdr:rowOff>19050</xdr:rowOff>
    </xdr:from>
    <xdr:to>
      <xdr:col>8</xdr:col>
      <xdr:colOff>342900</xdr:colOff>
      <xdr:row>34</xdr:row>
      <xdr:rowOff>64769</xdr:rowOff>
    </xdr:to>
    <xdr:sp macro="" textlink="">
      <xdr:nvSpPr>
        <xdr:cNvPr id="5" name="Pfeil nach links 4">
          <a:extLst>
            <a:ext uri="{FF2B5EF4-FFF2-40B4-BE49-F238E27FC236}">
              <a16:creationId xmlns:a16="http://schemas.microsoft.com/office/drawing/2014/main" id="{00000000-0008-0000-0900-000005000000}"/>
            </a:ext>
          </a:extLst>
        </xdr:cNvPr>
        <xdr:cNvSpPr/>
      </xdr:nvSpPr>
      <xdr:spPr>
        <a:xfrm>
          <a:off x="13096875" y="10972800"/>
          <a:ext cx="171450" cy="45719"/>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de-DE" sz="1100"/>
        </a:p>
      </xdr:txBody>
    </xdr:sp>
    <xdr:clientData/>
  </xdr:twoCellAnchor>
</xdr:wsDr>
</file>

<file path=xl/persons/person.xml><?xml version="1.0" encoding="utf-8"?>
<personList xmlns="http://schemas.microsoft.com/office/spreadsheetml/2018/threadedcomments" xmlns:x="http://schemas.openxmlformats.org/spreadsheetml/2006/main">
  <person displayName="Bischoff, Kathrin / G-PP-VM-S" id="{C075047E-CB20-49AB-BAEC-28B0E78548B0}" userId="S::kathrin.bischoff@plus.aok.de::aed18f08-9b5b-4310-a8de-4d0f79ca2560" providerId="AD"/>
</personList>
</file>

<file path=xl/theme/theme1.xml><?xml version="1.0" encoding="utf-8"?>
<a:theme xmlns:a="http://schemas.openxmlformats.org/drawingml/2006/main" name="AOKPLUS">
  <a:themeElements>
    <a:clrScheme name="AOK PLUS">
      <a:dk1>
        <a:sysClr val="windowText" lastClr="000000"/>
      </a:dk1>
      <a:lt1>
        <a:sysClr val="window" lastClr="FFFFFF"/>
      </a:lt1>
      <a:dk2>
        <a:srgbClr val="029646"/>
      </a:dk2>
      <a:lt2>
        <a:srgbClr val="EEECE1"/>
      </a:lt2>
      <a:accent1>
        <a:srgbClr val="CFE8B5"/>
      </a:accent1>
      <a:accent2>
        <a:srgbClr val="FDCA00"/>
      </a:accent2>
      <a:accent3>
        <a:srgbClr val="66BA06"/>
      </a:accent3>
      <a:accent4>
        <a:srgbClr val="EC540B"/>
      </a:accent4>
      <a:accent5>
        <a:srgbClr val="A0C013"/>
      </a:accent5>
      <a:accent6>
        <a:srgbClr val="B0B0B0"/>
      </a:accent6>
      <a:hlink>
        <a:srgbClr val="0000FF"/>
      </a:hlink>
      <a:folHlink>
        <a:srgbClr val="800080"/>
      </a:folHlink>
    </a:clrScheme>
    <a:fontScheme name="Executi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Palatino Linotype"/>
        <a:ea typeface=""/>
        <a:cs typeface=""/>
        <a:font script="Jpan" typeface="HGS明朝E"/>
        <a:font script="Hang" typeface="맑은 고딕"/>
        <a:font script="Hans" typeface="宋体"/>
        <a:font script="Hant" typeface="新細明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 dT="2024-11-07T13:19:58.86" personId="{C075047E-CB20-49AB-BAEC-28B0E78548B0}" id="{D3CE25A5-146E-4629-9C3F-D641975C1BC1}">
    <text>für bedingte Formatierung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2" Type="http://schemas.openxmlformats.org/officeDocument/2006/relationships/hyperlink" Target="mailto:vereinbarungen-pflege@ksv-sachsen.de" TargetMode="External"/><Relationship Id="rId1" Type="http://schemas.openxmlformats.org/officeDocument/2006/relationships/hyperlink" Target="mailto:vereinbarungen-pflege@ksv-sachsen.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P196"/>
  <sheetViews>
    <sheetView showGridLines="0" tabSelected="1" zoomScaleNormal="100" workbookViewId="0">
      <selection activeCell="H2" sqref="H2"/>
    </sheetView>
  </sheetViews>
  <sheetFormatPr baseColWidth="10" defaultRowHeight="14.25" x14ac:dyDescent="0.2"/>
  <cols>
    <col min="1" max="1" width="3.875" customWidth="1"/>
    <col min="2" max="2" width="18" customWidth="1"/>
    <col min="7" max="7" width="13.5" customWidth="1"/>
    <col min="8" max="16" width="11" style="259"/>
  </cols>
  <sheetData>
    <row r="1" spans="1:8" ht="14.25" customHeight="1" x14ac:dyDescent="0.2">
      <c r="A1" s="1099" t="str">
        <f>'C1_Allgemeine Angaben'!A1:N1</f>
        <v>Vereinfachtes Antragsverfahren für tarifungebundene Einrichtungen mit laufender Vereinbarung über den 31. Dezember 2024 im Rahmen § 72 Abs. 3b Satz 7 in Verbindung mit der Veröffentlichung nach § 82c Abs. 5 SGB XI (Stand 31.10.2024)</v>
      </c>
      <c r="B1" s="1100"/>
      <c r="C1" s="1100"/>
      <c r="D1" s="1100"/>
      <c r="E1" s="1100"/>
      <c r="F1" s="1100"/>
      <c r="G1" s="1101"/>
    </row>
    <row r="2" spans="1:8" ht="33.75" customHeight="1" x14ac:dyDescent="0.2">
      <c r="A2" s="1102"/>
      <c r="B2" s="1103"/>
      <c r="C2" s="1103"/>
      <c r="D2" s="1103"/>
      <c r="E2" s="1103"/>
      <c r="F2" s="1103"/>
      <c r="G2" s="1104"/>
    </row>
    <row r="3" spans="1:8" ht="6" customHeight="1" x14ac:dyDescent="0.2">
      <c r="A3" s="21"/>
      <c r="B3" s="21"/>
      <c r="C3" s="21"/>
      <c r="D3" s="21"/>
      <c r="E3" s="21"/>
      <c r="F3" s="21"/>
      <c r="G3" s="21"/>
    </row>
    <row r="4" spans="1:8" ht="14.25" customHeight="1" x14ac:dyDescent="0.2">
      <c r="A4" s="853"/>
      <c r="B4" s="853"/>
      <c r="C4" s="853"/>
      <c r="D4" s="853"/>
      <c r="E4" s="853"/>
      <c r="F4" s="853"/>
      <c r="G4" s="853"/>
      <c r="H4" s="383"/>
    </row>
    <row r="5" spans="1:8" ht="14.25" hidden="1" customHeight="1" x14ac:dyDescent="0.2">
      <c r="A5" s="1109"/>
      <c r="B5" s="1109"/>
      <c r="C5" s="1110"/>
      <c r="D5" s="1110"/>
      <c r="E5" s="1110"/>
      <c r="F5" s="1110"/>
      <c r="G5" s="1110"/>
      <c r="H5" s="383"/>
    </row>
    <row r="6" spans="1:8" ht="14.25" customHeight="1" x14ac:dyDescent="0.25">
      <c r="A6" s="852"/>
      <c r="B6" s="386"/>
      <c r="C6" s="385"/>
      <c r="D6" s="385"/>
      <c r="E6" s="385"/>
      <c r="F6" s="385"/>
      <c r="G6" s="385"/>
      <c r="H6" s="383"/>
    </row>
    <row r="7" spans="1:8" ht="25.5" customHeight="1" x14ac:dyDescent="0.2">
      <c r="A7" s="850"/>
      <c r="B7" s="1105"/>
      <c r="C7" s="1105"/>
      <c r="D7" s="1105"/>
      <c r="E7" s="1105"/>
      <c r="F7" s="1105"/>
      <c r="G7" s="1105"/>
      <c r="H7" s="383"/>
    </row>
    <row r="8" spans="1:8" ht="15" customHeight="1" x14ac:dyDescent="0.2">
      <c r="A8" s="850"/>
      <c r="B8" s="1108"/>
      <c r="C8" s="1108"/>
      <c r="D8" s="1108"/>
      <c r="E8" s="1108"/>
      <c r="F8" s="1108"/>
      <c r="G8" s="1108"/>
      <c r="H8" s="383"/>
    </row>
    <row r="9" spans="1:8" ht="15" customHeight="1" x14ac:dyDescent="0.2">
      <c r="A9" s="1111"/>
      <c r="B9" s="1111"/>
      <c r="C9" s="1111"/>
      <c r="D9" s="1111"/>
      <c r="E9" s="1111"/>
      <c r="F9" s="1111"/>
      <c r="G9" s="1111"/>
      <c r="H9" s="383"/>
    </row>
    <row r="10" spans="1:8" ht="15" customHeight="1" x14ac:dyDescent="0.2">
      <c r="A10" s="1111"/>
      <c r="B10" s="1111"/>
      <c r="C10" s="1111"/>
      <c r="D10" s="1111"/>
      <c r="E10" s="1111"/>
      <c r="F10" s="1111"/>
      <c r="G10" s="1111"/>
      <c r="H10" s="383"/>
    </row>
    <row r="11" spans="1:8" ht="15" customHeight="1" x14ac:dyDescent="0.2">
      <c r="A11" s="1111"/>
      <c r="B11" s="1111"/>
      <c r="C11" s="1111"/>
      <c r="D11" s="1111"/>
      <c r="E11" s="1111"/>
      <c r="F11" s="1111"/>
      <c r="G11" s="1111"/>
      <c r="H11" s="383"/>
    </row>
    <row r="12" spans="1:8" ht="14.25" customHeight="1" x14ac:dyDescent="0.2">
      <c r="A12" s="851"/>
      <c r="B12" s="833"/>
      <c r="C12" s="1107"/>
      <c r="D12" s="1107"/>
      <c r="E12" s="1107"/>
      <c r="F12" s="1107"/>
      <c r="G12" s="1107"/>
      <c r="H12" s="383"/>
    </row>
    <row r="13" spans="1:8" ht="18" customHeight="1" x14ac:dyDescent="0.2">
      <c r="A13" s="1105"/>
      <c r="B13" s="1105"/>
      <c r="C13" s="1105"/>
      <c r="D13" s="1105"/>
      <c r="E13" s="1105"/>
      <c r="F13" s="1105"/>
      <c r="G13" s="1105"/>
      <c r="H13" s="383"/>
    </row>
    <row r="14" spans="1:8" ht="14.25" customHeight="1" x14ac:dyDescent="0.2">
      <c r="A14" s="850"/>
      <c r="B14" s="851"/>
      <c r="C14" s="851"/>
      <c r="D14" s="851"/>
      <c r="E14" s="851"/>
      <c r="F14" s="851"/>
      <c r="G14" s="851"/>
      <c r="H14" s="383"/>
    </row>
    <row r="15" spans="1:8" ht="30.75" customHeight="1" x14ac:dyDescent="0.2">
      <c r="A15" s="850"/>
      <c r="B15" s="1105"/>
      <c r="C15" s="1105"/>
      <c r="D15" s="1105"/>
      <c r="E15" s="1105"/>
      <c r="F15" s="1105"/>
      <c r="G15" s="1105"/>
      <c r="H15" s="383"/>
    </row>
    <row r="16" spans="1:8" ht="14.25" customHeight="1" x14ac:dyDescent="0.2">
      <c r="A16" s="850"/>
      <c r="B16" s="1106"/>
      <c r="C16" s="1106"/>
      <c r="D16" s="1106"/>
      <c r="E16" s="1106"/>
      <c r="F16" s="1106"/>
      <c r="G16" s="1106"/>
      <c r="H16" s="383"/>
    </row>
    <row r="17" spans="1:8" x14ac:dyDescent="0.2">
      <c r="A17" s="850"/>
      <c r="B17" s="1105"/>
      <c r="C17" s="1105"/>
      <c r="D17" s="1105"/>
      <c r="E17" s="1105"/>
      <c r="F17" s="1105"/>
      <c r="G17" s="1105"/>
      <c r="H17" s="383"/>
    </row>
    <row r="18" spans="1:8" ht="14.25" customHeight="1" x14ac:dyDescent="0.2">
      <c r="A18" s="850"/>
      <c r="B18" s="851"/>
      <c r="C18" s="851"/>
      <c r="D18" s="851"/>
      <c r="E18" s="851"/>
      <c r="F18" s="851"/>
      <c r="G18" s="851"/>
      <c r="H18" s="383"/>
    </row>
    <row r="19" spans="1:8" ht="58.5" customHeight="1" x14ac:dyDescent="0.2">
      <c r="A19" s="850"/>
      <c r="B19" s="1106"/>
      <c r="C19" s="1106"/>
      <c r="D19" s="1106"/>
      <c r="E19" s="1106"/>
      <c r="F19" s="1106"/>
      <c r="G19" s="1106"/>
      <c r="H19" s="383"/>
    </row>
    <row r="20" spans="1:8" ht="14.25" customHeight="1" x14ac:dyDescent="0.2">
      <c r="A20" s="850"/>
      <c r="B20" s="851"/>
      <c r="C20" s="851"/>
      <c r="D20" s="851"/>
      <c r="E20" s="851"/>
      <c r="F20" s="851"/>
      <c r="G20" s="851"/>
      <c r="H20" s="383"/>
    </row>
    <row r="21" spans="1:8" ht="106.5" customHeight="1" x14ac:dyDescent="0.2">
      <c r="A21" s="850"/>
      <c r="B21" s="1106"/>
      <c r="C21" s="1106"/>
      <c r="D21" s="1106"/>
      <c r="E21" s="1106"/>
      <c r="F21" s="1106"/>
      <c r="G21" s="1106"/>
      <c r="H21" s="383"/>
    </row>
    <row r="22" spans="1:8" s="259" customFormat="1" ht="14.25" customHeight="1" x14ac:dyDescent="0.2">
      <c r="A22" s="850"/>
      <c r="B22" s="1105"/>
      <c r="C22" s="1105"/>
      <c r="D22" s="1105"/>
      <c r="E22" s="1105"/>
      <c r="F22" s="1105"/>
      <c r="G22" s="1105"/>
      <c r="H22" s="383"/>
    </row>
    <row r="23" spans="1:8" ht="27.75" customHeight="1" x14ac:dyDescent="0.2">
      <c r="A23" s="850"/>
      <c r="B23" s="1105"/>
      <c r="C23" s="1105"/>
      <c r="D23" s="1105"/>
      <c r="E23" s="1105"/>
      <c r="F23" s="1105"/>
      <c r="G23" s="1105"/>
      <c r="H23" s="383"/>
    </row>
    <row r="24" spans="1:8" ht="14.25" customHeight="1" x14ac:dyDescent="0.2">
      <c r="A24" s="850"/>
      <c r="B24" s="850"/>
      <c r="C24" s="850"/>
      <c r="D24" s="850"/>
      <c r="E24" s="850"/>
      <c r="F24" s="850"/>
      <c r="G24" s="850"/>
      <c r="H24" s="383"/>
    </row>
    <row r="25" spans="1:8" ht="33" customHeight="1" x14ac:dyDescent="0.2">
      <c r="A25" s="850"/>
      <c r="B25" s="1106"/>
      <c r="C25" s="1106"/>
      <c r="D25" s="1106"/>
      <c r="E25" s="1106"/>
      <c r="F25" s="1106"/>
      <c r="G25" s="1106"/>
      <c r="H25" s="383"/>
    </row>
    <row r="26" spans="1:8" x14ac:dyDescent="0.2">
      <c r="A26" s="834"/>
      <c r="B26" s="834"/>
      <c r="C26" s="834"/>
      <c r="D26" s="834"/>
      <c r="E26" s="834"/>
      <c r="F26" s="834"/>
      <c r="G26" s="834"/>
      <c r="H26" s="384"/>
    </row>
    <row r="27" spans="1:8" x14ac:dyDescent="0.2">
      <c r="A27" s="834"/>
      <c r="B27" s="834"/>
      <c r="C27" s="834"/>
      <c r="D27" s="834"/>
      <c r="E27" s="834"/>
      <c r="F27" s="834"/>
      <c r="G27" s="834"/>
      <c r="H27" s="384"/>
    </row>
    <row r="28" spans="1:8" x14ac:dyDescent="0.2">
      <c r="A28" s="834"/>
      <c r="B28" s="834"/>
      <c r="C28" s="834"/>
      <c r="D28" s="834"/>
      <c r="E28" s="834"/>
      <c r="F28" s="834"/>
      <c r="G28" s="834"/>
      <c r="H28" s="384"/>
    </row>
    <row r="29" spans="1:8" x14ac:dyDescent="0.2">
      <c r="A29" s="834"/>
      <c r="B29" s="834"/>
      <c r="C29" s="834"/>
      <c r="D29" s="834"/>
      <c r="E29" s="834"/>
      <c r="F29" s="834"/>
      <c r="G29" s="834"/>
      <c r="H29" s="384"/>
    </row>
    <row r="39" spans="1:7" ht="21.95" customHeight="1" x14ac:dyDescent="0.2">
      <c r="A39" s="1099" t="str">
        <f>A1</f>
        <v>Vereinfachtes Antragsverfahren für tarifungebundene Einrichtungen mit laufender Vereinbarung über den 31. Dezember 2024 im Rahmen § 72 Abs. 3b Satz 7 in Verbindung mit der Veröffentlichung nach § 82c Abs. 5 SGB XI (Stand 31.10.2024)</v>
      </c>
      <c r="B39" s="1100"/>
      <c r="C39" s="1100"/>
      <c r="D39" s="1100"/>
      <c r="E39" s="1100"/>
      <c r="F39" s="1100"/>
      <c r="G39" s="1101"/>
    </row>
    <row r="40" spans="1:7" ht="21.95" customHeight="1" x14ac:dyDescent="0.2">
      <c r="A40" s="1102"/>
      <c r="B40" s="1103"/>
      <c r="C40" s="1103"/>
      <c r="D40" s="1103"/>
      <c r="E40" s="1103"/>
      <c r="F40" s="1103"/>
      <c r="G40" s="1104"/>
    </row>
    <row r="41" spans="1:7" x14ac:dyDescent="0.2">
      <c r="A41" s="259"/>
      <c r="B41" s="259"/>
      <c r="C41" s="259"/>
      <c r="D41" s="259"/>
      <c r="E41" s="259"/>
      <c r="F41" s="259"/>
      <c r="G41" s="259"/>
    </row>
    <row r="42" spans="1:7" x14ac:dyDescent="0.2">
      <c r="A42" s="259"/>
      <c r="B42" s="259"/>
      <c r="C42" s="259"/>
      <c r="D42" s="259"/>
      <c r="E42" s="259"/>
      <c r="F42" s="259"/>
      <c r="G42" s="259"/>
    </row>
    <row r="43" spans="1:7" x14ac:dyDescent="0.2">
      <c r="A43" s="259"/>
      <c r="B43" s="259"/>
      <c r="C43" s="259"/>
      <c r="D43" s="259"/>
      <c r="E43" s="259"/>
      <c r="F43" s="259"/>
      <c r="G43" s="259"/>
    </row>
    <row r="44" spans="1:7" x14ac:dyDescent="0.2">
      <c r="A44" s="259"/>
      <c r="B44" s="259"/>
      <c r="C44" s="259"/>
      <c r="D44" s="259"/>
      <c r="E44" s="259"/>
      <c r="F44" s="259"/>
      <c r="G44" s="259"/>
    </row>
    <row r="91" spans="1:7" ht="21.95" customHeight="1" x14ac:dyDescent="0.2">
      <c r="A91" s="1099" t="str">
        <f>A39</f>
        <v>Vereinfachtes Antragsverfahren für tarifungebundene Einrichtungen mit laufender Vereinbarung über den 31. Dezember 2024 im Rahmen § 72 Abs. 3b Satz 7 in Verbindung mit der Veröffentlichung nach § 82c Abs. 5 SGB XI (Stand 31.10.2024)</v>
      </c>
      <c r="B91" s="1100"/>
      <c r="C91" s="1100"/>
      <c r="D91" s="1100"/>
      <c r="E91" s="1100"/>
      <c r="F91" s="1100"/>
      <c r="G91" s="1101"/>
    </row>
    <row r="92" spans="1:7" ht="21.95" customHeight="1" x14ac:dyDescent="0.2">
      <c r="A92" s="1102"/>
      <c r="B92" s="1103"/>
      <c r="C92" s="1103"/>
      <c r="D92" s="1103"/>
      <c r="E92" s="1103"/>
      <c r="F92" s="1103"/>
      <c r="G92" s="1104"/>
    </row>
    <row r="143" spans="1:7" ht="21.95" customHeight="1" x14ac:dyDescent="0.2">
      <c r="A143" s="1099" t="str">
        <f>A91</f>
        <v>Vereinfachtes Antragsverfahren für tarifungebundene Einrichtungen mit laufender Vereinbarung über den 31. Dezember 2024 im Rahmen § 72 Abs. 3b Satz 7 in Verbindung mit der Veröffentlichung nach § 82c Abs. 5 SGB XI (Stand 31.10.2024)</v>
      </c>
      <c r="B143" s="1100"/>
      <c r="C143" s="1100"/>
      <c r="D143" s="1100"/>
      <c r="E143" s="1100"/>
      <c r="F143" s="1100"/>
      <c r="G143" s="1101"/>
    </row>
    <row r="144" spans="1:7" ht="21.95" customHeight="1" x14ac:dyDescent="0.2">
      <c r="A144" s="1102"/>
      <c r="B144" s="1103"/>
      <c r="C144" s="1103"/>
      <c r="D144" s="1103"/>
      <c r="E144" s="1103"/>
      <c r="F144" s="1103"/>
      <c r="G144" s="1104"/>
    </row>
    <row r="195" spans="1:7" ht="21.95" customHeight="1" x14ac:dyDescent="0.2">
      <c r="A195" s="1099" t="str">
        <f>A143</f>
        <v>Vereinfachtes Antragsverfahren für tarifungebundene Einrichtungen mit laufender Vereinbarung über den 31. Dezember 2024 im Rahmen § 72 Abs. 3b Satz 7 in Verbindung mit der Veröffentlichung nach § 82c Abs. 5 SGB XI (Stand 31.10.2024)</v>
      </c>
      <c r="B195" s="1100"/>
      <c r="C195" s="1100"/>
      <c r="D195" s="1100"/>
      <c r="E195" s="1100"/>
      <c r="F195" s="1100"/>
      <c r="G195" s="1101"/>
    </row>
    <row r="196" spans="1:7" ht="21.95" customHeight="1" x14ac:dyDescent="0.2">
      <c r="A196" s="1102"/>
      <c r="B196" s="1103"/>
      <c r="C196" s="1103"/>
      <c r="D196" s="1103"/>
      <c r="E196" s="1103"/>
      <c r="F196" s="1103"/>
      <c r="G196" s="1104"/>
    </row>
  </sheetData>
  <sheetProtection algorithmName="SHA-512" hashValue="6rhXcV8aTE8iUl4ZYAfde/HQo6lMlSbBRt40ekrkIoUemGIb87k9RLkc3C7fMyu3wkNOzOh4UC2/HZ8iGw/k0A==" saltValue="RJUWhriXunFjDj910GcYMw==" spinCount="100000" sheet="1" objects="1" scenarios="1"/>
  <customSheetViews>
    <customSheetView guid="{9119B1A0-FD79-4FE4-B78E-10E0AEB8080B}" scale="130">
      <selection activeCell="C14" sqref="C14"/>
      <pageMargins left="0.70866141732283472" right="0.70866141732283472" top="0.78740157480314965" bottom="0.78740157480314965" header="0.31496062992125984" footer="0.31496062992125984"/>
      <pageSetup paperSize="9" orientation="portrait"/>
      <headerFooter>
        <oddFooter>&amp;L&amp;8Version: 21.09.2020&amp;C&amp;8Verhandlungsunterlagen SGB XI (vereinfacht)</oddFooter>
      </headerFooter>
    </customSheetView>
  </customSheetViews>
  <mergeCells count="19">
    <mergeCell ref="A195:G196"/>
    <mergeCell ref="A39:G40"/>
    <mergeCell ref="A91:G92"/>
    <mergeCell ref="A143:G144"/>
    <mergeCell ref="A9:G11"/>
    <mergeCell ref="A13:G13"/>
    <mergeCell ref="B25:G25"/>
    <mergeCell ref="B22:G22"/>
    <mergeCell ref="B23:G23"/>
    <mergeCell ref="A1:G2"/>
    <mergeCell ref="B17:G17"/>
    <mergeCell ref="B16:G16"/>
    <mergeCell ref="B19:G19"/>
    <mergeCell ref="B21:G21"/>
    <mergeCell ref="B15:G15"/>
    <mergeCell ref="C12:G12"/>
    <mergeCell ref="B7:G7"/>
    <mergeCell ref="B8:G8"/>
    <mergeCell ref="A5:G5"/>
  </mergeCells>
  <pageMargins left="0.70866141732283472" right="0.70866141732283472" top="0.78740157480314965" bottom="0.78740157480314965" header="0.31496062992125984" footer="0.31496062992125984"/>
  <pageSetup paperSize="9" orientation="portrait"/>
  <headerFooter>
    <oddFooter>&amp;L&amp;8Version: 21.11.2024&amp;C&amp;8Verhandlungsunterlagen SGB XI (vereinfacht C1)&amp;R&amp;8PSK-Beschluss vom 07.11.2024</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14"/>
  <sheetViews>
    <sheetView workbookViewId="0">
      <selection activeCell="D8" sqref="D8"/>
    </sheetView>
  </sheetViews>
  <sheetFormatPr baseColWidth="10" defaultRowHeight="14.25" x14ac:dyDescent="0.2"/>
  <sheetData>
    <row r="2" spans="1:5" x14ac:dyDescent="0.2">
      <c r="A2" s="89" t="s">
        <v>487</v>
      </c>
      <c r="B2" s="183">
        <v>2022</v>
      </c>
      <c r="C2" s="89">
        <v>2023</v>
      </c>
      <c r="D2" s="89">
        <v>2024</v>
      </c>
      <c r="E2" s="89">
        <v>2025</v>
      </c>
    </row>
    <row r="3" spans="1:5" x14ac:dyDescent="0.2">
      <c r="A3" t="s">
        <v>432</v>
      </c>
      <c r="B3" s="868">
        <v>20.59</v>
      </c>
      <c r="D3">
        <v>22.76</v>
      </c>
      <c r="E3">
        <v>24.35</v>
      </c>
    </row>
    <row r="4" spans="1:5" x14ac:dyDescent="0.2">
      <c r="A4" t="s">
        <v>430</v>
      </c>
      <c r="B4" s="868">
        <v>17.079999999999998</v>
      </c>
      <c r="D4">
        <v>18.440000000000001</v>
      </c>
      <c r="E4">
        <v>19.97</v>
      </c>
    </row>
    <row r="5" spans="1:5" x14ac:dyDescent="0.2">
      <c r="A5" t="s">
        <v>488</v>
      </c>
      <c r="B5" s="868">
        <v>15.59</v>
      </c>
      <c r="D5">
        <v>17.28</v>
      </c>
      <c r="E5">
        <v>18.72</v>
      </c>
    </row>
    <row r="8" spans="1:5" x14ac:dyDescent="0.2">
      <c r="A8" s="1266" t="s">
        <v>750</v>
      </c>
      <c r="B8" s="1266"/>
      <c r="C8" s="1266"/>
    </row>
    <row r="9" spans="1:5" x14ac:dyDescent="0.2">
      <c r="A9" s="1267" t="s">
        <v>346</v>
      </c>
      <c r="B9" s="1268" t="s">
        <v>374</v>
      </c>
      <c r="C9" s="1268"/>
    </row>
    <row r="10" spans="1:5" x14ac:dyDescent="0.2">
      <c r="A10" s="1267"/>
      <c r="B10" s="188" t="s">
        <v>375</v>
      </c>
      <c r="C10" s="188" t="s">
        <v>353</v>
      </c>
    </row>
    <row r="11" spans="1:5" x14ac:dyDescent="0.2">
      <c r="A11" s="412" t="s">
        <v>372</v>
      </c>
      <c r="B11" s="414">
        <v>8.1000000000000003E-2</v>
      </c>
      <c r="C11" s="414">
        <v>2.5000000000000001E-2</v>
      </c>
    </row>
    <row r="12" spans="1:5" x14ac:dyDescent="0.2">
      <c r="A12" s="412" t="s">
        <v>139</v>
      </c>
      <c r="B12" s="414">
        <v>3.5400000000000001E-2</v>
      </c>
      <c r="C12" s="414">
        <v>0.03</v>
      </c>
    </row>
    <row r="13" spans="1:5" ht="38.25" x14ac:dyDescent="0.2">
      <c r="A13" s="413" t="s">
        <v>373</v>
      </c>
      <c r="B13" s="414">
        <v>4.0500000000000001E-2</v>
      </c>
      <c r="C13" s="414">
        <v>0.03</v>
      </c>
    </row>
    <row r="14" spans="1:5" x14ac:dyDescent="0.2">
      <c r="B14" t="s">
        <v>516</v>
      </c>
    </row>
  </sheetData>
  <sheetProtection algorithmName="SHA-512" hashValue="P/F/F5O9YfmNmZT5j2ap/fFi3rYgjozvMPLgkGHtRFJ5vne66pwENKMa0XU1wnVTUnIsbPxKyVxxw5owyZ2t8A==" saltValue="94PF0RNHic1AjLRwDvZolw==" spinCount="100000" sheet="1" objects="1" scenarios="1"/>
  <mergeCells count="3">
    <mergeCell ref="A8:C8"/>
    <mergeCell ref="A9:A10"/>
    <mergeCell ref="B9:C9"/>
  </mergeCells>
  <pageMargins left="0.70866141732283472" right="0.70866141732283472" top="0.78740157480314965" bottom="0.78740157480314965" header="0.31496062992125984" footer="0.31496062992125984"/>
  <pageSetup paperSize="9" orientation="portrait"/>
  <headerFooter>
    <oddFooter>&amp;C_x000D_&amp;1#&amp;"Calibri"&amp;10&amp;K000000 öffentlich</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A1:S113"/>
  <sheetViews>
    <sheetView workbookViewId="0">
      <selection activeCell="A113" sqref="A113"/>
    </sheetView>
  </sheetViews>
  <sheetFormatPr baseColWidth="10" defaultRowHeight="14.25" x14ac:dyDescent="0.2"/>
  <cols>
    <col min="1" max="1" width="24.5" customWidth="1"/>
    <col min="5" max="5" width="12.25" customWidth="1"/>
  </cols>
  <sheetData>
    <row r="1" spans="1:19" s="60" customFormat="1" ht="15" x14ac:dyDescent="0.25">
      <c r="A1" s="60" t="s">
        <v>122</v>
      </c>
      <c r="B1" s="60" t="s">
        <v>123</v>
      </c>
      <c r="C1" s="60" t="s">
        <v>73</v>
      </c>
      <c r="D1" s="60" t="s">
        <v>124</v>
      </c>
      <c r="E1" s="61" t="s">
        <v>125</v>
      </c>
      <c r="F1" s="60" t="s">
        <v>126</v>
      </c>
      <c r="I1" s="918" t="s">
        <v>570</v>
      </c>
      <c r="J1" s="919"/>
      <c r="K1" s="919"/>
      <c r="L1" s="919"/>
      <c r="M1" s="919"/>
      <c r="N1" s="920"/>
    </row>
    <row r="2" spans="1:19" x14ac:dyDescent="0.2">
      <c r="A2" s="62" t="s">
        <v>132</v>
      </c>
      <c r="B2" s="63" t="s">
        <v>128</v>
      </c>
      <c r="C2" s="62">
        <v>30.42</v>
      </c>
      <c r="D2" s="62">
        <v>365</v>
      </c>
      <c r="E2" s="64">
        <v>1</v>
      </c>
      <c r="F2" s="62" t="s">
        <v>129</v>
      </c>
      <c r="G2" s="62"/>
      <c r="I2" s="20" t="s">
        <v>566</v>
      </c>
      <c r="J2" s="170" t="s">
        <v>567</v>
      </c>
      <c r="K2" t="s">
        <v>569</v>
      </c>
      <c r="N2" s="19"/>
    </row>
    <row r="3" spans="1:19" x14ac:dyDescent="0.2">
      <c r="A3" s="62" t="s">
        <v>133</v>
      </c>
      <c r="B3" s="62"/>
      <c r="C3" s="62">
        <v>26</v>
      </c>
      <c r="D3" s="62">
        <v>312</v>
      </c>
      <c r="E3" s="64">
        <v>0.99</v>
      </c>
      <c r="F3" s="62" t="s">
        <v>131</v>
      </c>
      <c r="G3" s="62"/>
      <c r="I3" s="174">
        <f>IF('C1_Allgemeine Angaben'!D7&lt;&gt;"vst",1,2)</f>
        <v>1</v>
      </c>
      <c r="J3" s="921"/>
      <c r="K3" s="174"/>
      <c r="L3" t="s">
        <v>568</v>
      </c>
      <c r="N3" s="19"/>
    </row>
    <row r="4" spans="1:19" x14ac:dyDescent="0.2">
      <c r="A4" s="62" t="s">
        <v>127</v>
      </c>
      <c r="C4" s="62">
        <v>20.83</v>
      </c>
      <c r="D4" s="62">
        <v>250</v>
      </c>
      <c r="E4" s="64">
        <v>0.98</v>
      </c>
      <c r="F4" s="62"/>
      <c r="G4" s="62"/>
      <c r="I4" s="174"/>
      <c r="J4" s="174">
        <f>IF('C1_Allgemeine Angaben'!H52&lt;DATEVALUE("01.07.2023"),1,2)</f>
        <v>1</v>
      </c>
      <c r="K4" s="174"/>
      <c r="L4" t="s">
        <v>571</v>
      </c>
      <c r="N4" s="19"/>
    </row>
    <row r="5" spans="1:19" x14ac:dyDescent="0.2">
      <c r="A5" s="62" t="s">
        <v>30</v>
      </c>
      <c r="C5" s="62"/>
      <c r="D5" s="62"/>
      <c r="E5" s="64">
        <v>0.97</v>
      </c>
      <c r="I5" s="174"/>
      <c r="J5" s="922"/>
      <c r="K5" s="922">
        <f>IF(AND(I3=2,J4=2),2,1)</f>
        <v>1</v>
      </c>
      <c r="L5" s="89"/>
      <c r="M5" s="89"/>
      <c r="N5" s="184"/>
    </row>
    <row r="6" spans="1:19" x14ac:dyDescent="0.2">
      <c r="A6" s="62" t="s">
        <v>130</v>
      </c>
      <c r="E6" s="64">
        <v>0.96</v>
      </c>
      <c r="I6" t="s">
        <v>652</v>
      </c>
    </row>
    <row r="7" spans="1:19" x14ac:dyDescent="0.2">
      <c r="A7" s="62"/>
      <c r="E7" s="64">
        <v>0.95</v>
      </c>
      <c r="I7" t="s">
        <v>653</v>
      </c>
      <c r="J7" s="185"/>
    </row>
    <row r="8" spans="1:19" ht="15" thickBot="1" x14ac:dyDescent="0.25">
      <c r="A8" s="62"/>
      <c r="E8" s="64">
        <v>0.94</v>
      </c>
      <c r="I8" s="174" t="s">
        <v>654</v>
      </c>
      <c r="J8" s="186" t="s">
        <v>707</v>
      </c>
      <c r="K8" s="186" t="s">
        <v>430</v>
      </c>
      <c r="L8" s="186" t="s">
        <v>431</v>
      </c>
      <c r="M8" s="1047" t="s">
        <v>323</v>
      </c>
      <c r="N8" s="1047" t="s">
        <v>432</v>
      </c>
      <c r="O8" s="1047" t="s">
        <v>430</v>
      </c>
      <c r="P8" s="1047" t="s">
        <v>431</v>
      </c>
    </row>
    <row r="9" spans="1:19" ht="25.5" x14ac:dyDescent="0.2">
      <c r="A9" s="1011" t="s">
        <v>629</v>
      </c>
      <c r="B9" s="1269" t="s">
        <v>705</v>
      </c>
      <c r="C9" s="1270"/>
      <c r="D9" s="1271"/>
      <c r="E9" s="64">
        <v>0.93</v>
      </c>
      <c r="I9" s="174" t="s">
        <v>200</v>
      </c>
      <c r="J9" s="186">
        <v>7.6999999999999999E-2</v>
      </c>
      <c r="K9" s="186">
        <v>5.6399999999999999E-2</v>
      </c>
      <c r="L9" s="186">
        <v>8.72E-2</v>
      </c>
      <c r="M9" s="174">
        <f>'C1_Kalkulation'!H14</f>
        <v>0</v>
      </c>
      <c r="N9" s="174">
        <f>M9*J9</f>
        <v>0</v>
      </c>
      <c r="O9" s="174">
        <f>M9*K9</f>
        <v>0</v>
      </c>
      <c r="P9" s="174">
        <f>L9*M9</f>
        <v>0</v>
      </c>
      <c r="S9">
        <f>SUM(J9:L9)</f>
        <v>0.22059999999999999</v>
      </c>
    </row>
    <row r="10" spans="1:19" ht="15" x14ac:dyDescent="0.25">
      <c r="A10" s="1010" t="s">
        <v>618</v>
      </c>
      <c r="B10" s="1013">
        <f>IF(AND('C1_Kalkulation'!B28="Anteil der PFK/BFK in Höhe von:",'C1_Allgemeine Angaben'!D7="vst"),1,0)</f>
        <v>0</v>
      </c>
      <c r="C10" s="1272" t="s">
        <v>636</v>
      </c>
      <c r="D10" s="1273"/>
      <c r="E10" s="64">
        <v>0.92</v>
      </c>
      <c r="I10" s="174" t="s">
        <v>204</v>
      </c>
      <c r="J10" s="186">
        <v>0.1037</v>
      </c>
      <c r="K10" s="186">
        <v>6.7500000000000004E-2</v>
      </c>
      <c r="L10" s="186">
        <v>0.1202</v>
      </c>
      <c r="M10" s="174">
        <f>'C1_Kalkulation'!I14</f>
        <v>0</v>
      </c>
      <c r="N10" s="174">
        <f t="shared" ref="N10:N13" si="0">M10*J10</f>
        <v>0</v>
      </c>
      <c r="O10" s="174">
        <f t="shared" ref="O10:O13" si="1">M10*K10</f>
        <v>0</v>
      </c>
      <c r="P10" s="174">
        <f t="shared" ref="P10:P13" si="2">L10*M10</f>
        <v>0</v>
      </c>
      <c r="S10">
        <f t="shared" ref="S10:S14" si="3">SUM(J10:L10)</f>
        <v>0.29139999999999999</v>
      </c>
    </row>
    <row r="11" spans="1:19" x14ac:dyDescent="0.2">
      <c r="A11" s="1012" t="s">
        <v>619</v>
      </c>
      <c r="B11" s="980"/>
      <c r="C11" s="1272"/>
      <c r="D11" s="1273"/>
      <c r="E11" s="64">
        <v>0.91</v>
      </c>
      <c r="I11" s="174" t="s">
        <v>203</v>
      </c>
      <c r="J11" s="186">
        <v>0.15509999999999999</v>
      </c>
      <c r="K11" s="186">
        <v>0.1074</v>
      </c>
      <c r="L11" s="186">
        <v>0.14480000000000001</v>
      </c>
      <c r="M11" s="174">
        <f>'C1_Kalkulation'!J14</f>
        <v>0</v>
      </c>
      <c r="N11" s="174">
        <f t="shared" si="0"/>
        <v>0</v>
      </c>
      <c r="O11" s="174">
        <f t="shared" si="1"/>
        <v>0</v>
      </c>
      <c r="P11" s="174">
        <f t="shared" si="2"/>
        <v>0</v>
      </c>
      <c r="S11">
        <f t="shared" si="3"/>
        <v>0.4073</v>
      </c>
    </row>
    <row r="12" spans="1:19" ht="15" thickBot="1" x14ac:dyDescent="0.25">
      <c r="A12" s="1050" t="s">
        <v>717</v>
      </c>
      <c r="B12" s="1008"/>
      <c r="C12" s="1009" t="s">
        <v>635</v>
      </c>
      <c r="D12" s="983"/>
      <c r="E12" s="64">
        <v>0.9</v>
      </c>
      <c r="I12" s="174" t="s">
        <v>202</v>
      </c>
      <c r="J12" s="186">
        <v>0.24629999999999999</v>
      </c>
      <c r="K12" s="186">
        <v>0.14130000000000001</v>
      </c>
      <c r="L12" s="186">
        <v>0.16270000000000001</v>
      </c>
      <c r="M12" s="174">
        <f>'C1_Kalkulation'!K14</f>
        <v>0</v>
      </c>
      <c r="N12" s="174">
        <f t="shared" si="0"/>
        <v>0</v>
      </c>
      <c r="O12" s="174">
        <f t="shared" si="1"/>
        <v>0</v>
      </c>
      <c r="P12" s="174">
        <f t="shared" si="2"/>
        <v>0</v>
      </c>
      <c r="S12">
        <f t="shared" si="3"/>
        <v>0.55030000000000001</v>
      </c>
    </row>
    <row r="13" spans="1:19" ht="15" thickBot="1" x14ac:dyDescent="0.25">
      <c r="B13" s="1053"/>
      <c r="C13" s="1054"/>
      <c r="D13" s="1055"/>
      <c r="E13" s="64">
        <v>0.89</v>
      </c>
      <c r="I13" s="174" t="s">
        <v>201</v>
      </c>
      <c r="J13" s="186">
        <v>0.38419999999999999</v>
      </c>
      <c r="K13" s="186">
        <v>0.11020000000000001</v>
      </c>
      <c r="L13" s="186">
        <v>0.17580000000000001</v>
      </c>
      <c r="M13" s="174">
        <f>'C1_Kalkulation'!L14</f>
        <v>0</v>
      </c>
      <c r="N13" s="174">
        <f t="shared" si="0"/>
        <v>0</v>
      </c>
      <c r="O13" s="174">
        <f t="shared" si="1"/>
        <v>0</v>
      </c>
      <c r="P13" s="174">
        <f t="shared" si="2"/>
        <v>0</v>
      </c>
      <c r="S13">
        <f t="shared" si="3"/>
        <v>0.67020000000000002</v>
      </c>
    </row>
    <row r="14" spans="1:19" x14ac:dyDescent="0.2">
      <c r="A14" s="984" t="s">
        <v>610</v>
      </c>
      <c r="C14" s="979"/>
      <c r="E14" s="64">
        <v>0.88</v>
      </c>
      <c r="I14" s="174" t="s">
        <v>328</v>
      </c>
      <c r="J14" s="186">
        <f>SUM(J9:J13)</f>
        <v>0.96629999999999994</v>
      </c>
      <c r="K14" s="186">
        <f t="shared" ref="K14:M14" si="4">SUM(K9:K13)</f>
        <v>0.48280000000000006</v>
      </c>
      <c r="L14" s="186">
        <f t="shared" si="4"/>
        <v>0.69070000000000009</v>
      </c>
      <c r="M14" s="1047">
        <f t="shared" si="4"/>
        <v>0</v>
      </c>
      <c r="N14" s="1047">
        <f t="shared" ref="N14" si="5">SUM(N9:N13)</f>
        <v>0</v>
      </c>
      <c r="O14" s="1047">
        <f t="shared" ref="O14" si="6">SUM(O9:O13)</f>
        <v>0</v>
      </c>
      <c r="P14" s="1047">
        <f t="shared" ref="P14" si="7">SUM(P9:P13)</f>
        <v>0</v>
      </c>
      <c r="S14">
        <f t="shared" si="3"/>
        <v>2.1398000000000001</v>
      </c>
    </row>
    <row r="15" spans="1:19" x14ac:dyDescent="0.2">
      <c r="A15" s="987">
        <f>IF(OR('C1_Allgemeine Angaben'!D7="tst",'C1_Allgemeine Angaben'!D7="KZP"),1,0)</f>
        <v>0</v>
      </c>
      <c r="B15" t="s">
        <v>611</v>
      </c>
      <c r="C15" s="979"/>
      <c r="E15" s="64">
        <v>0.87</v>
      </c>
    </row>
    <row r="16" spans="1:19" x14ac:dyDescent="0.2">
      <c r="A16" s="987">
        <f>IF(AND('C1_Allgemeine Angaben'!D7="vst",'C1_Allgemeine Angaben'!L46&gt;0),2,0)</f>
        <v>0</v>
      </c>
      <c r="B16" t="s">
        <v>612</v>
      </c>
      <c r="C16" s="979"/>
      <c r="E16" s="64">
        <v>0.86</v>
      </c>
    </row>
    <row r="17" spans="1:16" x14ac:dyDescent="0.2">
      <c r="A17" s="980"/>
      <c r="B17" t="s">
        <v>613</v>
      </c>
      <c r="C17" s="979"/>
      <c r="E17" s="64">
        <v>0.85</v>
      </c>
    </row>
    <row r="18" spans="1:16" ht="15.75" thickBot="1" x14ac:dyDescent="0.3">
      <c r="A18" s="988">
        <f>SUM(A15:A17)</f>
        <v>0</v>
      </c>
      <c r="B18" s="986" t="s">
        <v>569</v>
      </c>
      <c r="C18" s="985"/>
      <c r="E18" s="62"/>
    </row>
    <row r="19" spans="1:16" ht="15.75" thickTop="1" thickBot="1" x14ac:dyDescent="0.25">
      <c r="A19" s="981"/>
      <c r="B19" s="982"/>
      <c r="C19" s="983"/>
    </row>
    <row r="20" spans="1:16" ht="15" thickBot="1" x14ac:dyDescent="0.25">
      <c r="A20" s="160" t="s">
        <v>243</v>
      </c>
      <c r="B20" s="149"/>
      <c r="C20" s="149"/>
      <c r="D20" s="149"/>
      <c r="E20" s="149"/>
      <c r="F20" s="126"/>
      <c r="G20" s="126"/>
      <c r="H20" s="126"/>
      <c r="I20" s="126"/>
      <c r="J20" s="126"/>
      <c r="K20" s="154"/>
      <c r="L20" s="154"/>
      <c r="M20" s="126"/>
      <c r="N20" s="126"/>
      <c r="O20" s="126"/>
      <c r="P20" s="126"/>
    </row>
    <row r="21" spans="1:16" ht="15.75" thickTop="1" thickBot="1" x14ac:dyDescent="0.25">
      <c r="A21" s="126"/>
      <c r="B21" s="126"/>
      <c r="C21" s="126"/>
      <c r="D21" s="126"/>
      <c r="E21" s="126"/>
      <c r="F21" s="126"/>
      <c r="G21" s="126"/>
      <c r="H21" s="126"/>
      <c r="I21" s="126"/>
      <c r="J21" s="126"/>
      <c r="K21" s="126"/>
      <c r="L21" s="126"/>
      <c r="M21" s="126"/>
      <c r="N21" s="126"/>
      <c r="O21" s="126"/>
      <c r="P21" s="126"/>
    </row>
    <row r="22" spans="1:16" x14ac:dyDescent="0.2">
      <c r="A22" s="127" t="s">
        <v>205</v>
      </c>
      <c r="B22" s="128" t="s">
        <v>215</v>
      </c>
      <c r="C22" s="126"/>
      <c r="D22" s="126"/>
      <c r="E22" s="126"/>
      <c r="F22" s="126"/>
      <c r="G22" s="126"/>
      <c r="H22" s="126"/>
      <c r="I22" s="126"/>
      <c r="J22" s="158" t="s">
        <v>226</v>
      </c>
      <c r="K22" s="126"/>
      <c r="L22" s="126"/>
      <c r="M22" s="153"/>
      <c r="N22" s="126"/>
      <c r="O22" s="126"/>
      <c r="P22" s="126"/>
    </row>
    <row r="23" spans="1:16" x14ac:dyDescent="0.2">
      <c r="A23" s="129">
        <v>1</v>
      </c>
      <c r="B23" s="130">
        <f>IF('C1_Kalkulation'!H14&lt;&gt;0,'C1_Gesamtkalkulation'!H47,0)</f>
        <v>0</v>
      </c>
      <c r="C23" s="126"/>
      <c r="D23" s="126"/>
      <c r="E23" s="126"/>
      <c r="F23" s="126"/>
      <c r="G23" s="126"/>
      <c r="H23" s="126"/>
      <c r="I23" s="126"/>
      <c r="J23" s="126" t="s">
        <v>227</v>
      </c>
      <c r="K23" s="126"/>
      <c r="L23" s="126"/>
      <c r="M23" s="126"/>
      <c r="N23" s="126"/>
      <c r="O23" s="126"/>
      <c r="P23" s="126"/>
    </row>
    <row r="24" spans="1:16" ht="15" thickBot="1" x14ac:dyDescent="0.25">
      <c r="A24" s="129">
        <v>2</v>
      </c>
      <c r="B24" s="157">
        <f>IF('C1_Kalkulation'!I14&lt;&gt;0,'C1_Gesamtkalkulation'!J47,0)</f>
        <v>0</v>
      </c>
      <c r="C24" s="126"/>
      <c r="D24" s="126"/>
      <c r="E24" s="126"/>
      <c r="F24" s="126"/>
      <c r="G24" s="126"/>
      <c r="H24" s="126"/>
      <c r="I24" s="126"/>
      <c r="J24" s="126" t="s">
        <v>228</v>
      </c>
      <c r="K24" s="126"/>
      <c r="L24" s="126"/>
      <c r="M24" s="126"/>
      <c r="N24" s="126"/>
      <c r="O24" s="126"/>
      <c r="P24" s="126"/>
    </row>
    <row r="25" spans="1:16" x14ac:dyDescent="0.2">
      <c r="A25" s="129">
        <v>3</v>
      </c>
      <c r="B25" s="157">
        <f>IF('C1_Kalkulation'!J14&lt;&gt;0,'C1_Gesamtkalkulation'!L47,0)</f>
        <v>0</v>
      </c>
      <c r="C25" s="126"/>
      <c r="D25" s="131" t="s">
        <v>212</v>
      </c>
      <c r="E25" s="132"/>
      <c r="F25" s="150" t="str">
        <f>IF('C1_Allgemeine Angaben'!D7="tst","tst",IF('C1_Allgemeine Angaben'!D7="kzp","KZP",""))</f>
        <v/>
      </c>
      <c r="G25" s="133"/>
      <c r="H25" s="126"/>
      <c r="I25" s="126"/>
      <c r="J25" s="126" t="s">
        <v>229</v>
      </c>
      <c r="K25" s="126"/>
      <c r="L25" s="126"/>
      <c r="M25" s="126"/>
      <c r="N25" s="126"/>
      <c r="O25" s="126"/>
      <c r="P25" s="126"/>
    </row>
    <row r="26" spans="1:16" ht="15" thickBot="1" x14ac:dyDescent="0.25">
      <c r="A26" s="129">
        <v>4</v>
      </c>
      <c r="B26" s="157">
        <f>IF('C1_Kalkulation'!K14&lt;&gt;0,'C1_Gesamtkalkulation'!N47,0)</f>
        <v>0</v>
      </c>
      <c r="C26" s="126"/>
      <c r="D26" s="134" t="s">
        <v>225</v>
      </c>
      <c r="E26" s="135"/>
      <c r="F26" s="135"/>
      <c r="G26" s="136"/>
      <c r="H26" s="126"/>
      <c r="I26" s="126"/>
      <c r="J26" s="126"/>
      <c r="K26" s="126"/>
      <c r="L26" s="126"/>
      <c r="M26" s="126"/>
      <c r="N26" s="126"/>
      <c r="O26" s="126"/>
      <c r="P26" s="126"/>
    </row>
    <row r="27" spans="1:16" x14ac:dyDescent="0.2">
      <c r="A27" s="137">
        <v>5</v>
      </c>
      <c r="B27" s="130">
        <f>IF('C1_Kalkulation'!L14&lt;&gt;0,'C1_Gesamtkalkulation'!P47,0)</f>
        <v>0</v>
      </c>
      <c r="C27" s="126"/>
      <c r="D27" s="126"/>
      <c r="E27" s="126"/>
      <c r="F27" s="126"/>
      <c r="G27" s="126"/>
      <c r="H27" s="126"/>
      <c r="I27" s="126"/>
      <c r="J27" s="126"/>
      <c r="K27" s="126"/>
      <c r="L27" s="126"/>
      <c r="M27" s="126"/>
      <c r="N27" s="126"/>
      <c r="O27" s="126"/>
      <c r="P27" s="126"/>
    </row>
    <row r="28" spans="1:16" x14ac:dyDescent="0.2">
      <c r="A28" s="138"/>
      <c r="B28" s="126"/>
      <c r="C28" s="126"/>
      <c r="D28" s="126"/>
      <c r="E28" s="126"/>
      <c r="F28" s="126"/>
      <c r="G28" s="126"/>
      <c r="H28" s="126"/>
      <c r="I28" s="126"/>
      <c r="J28" s="126"/>
      <c r="K28" s="126"/>
      <c r="L28" s="159" t="s">
        <v>230</v>
      </c>
      <c r="M28" s="126"/>
      <c r="N28" s="126"/>
      <c r="O28" s="126"/>
      <c r="P28" s="126"/>
    </row>
    <row r="29" spans="1:16" x14ac:dyDescent="0.2">
      <c r="A29" s="126" t="s">
        <v>220</v>
      </c>
      <c r="B29" s="126"/>
      <c r="C29" s="126"/>
      <c r="D29" s="126"/>
      <c r="E29" s="126" t="s">
        <v>219</v>
      </c>
      <c r="F29" s="126"/>
      <c r="G29" s="126"/>
      <c r="H29" s="126"/>
      <c r="I29" s="126"/>
      <c r="J29" s="126"/>
      <c r="K29" s="126"/>
      <c r="L29" s="126" t="s">
        <v>244</v>
      </c>
      <c r="M29" s="126"/>
      <c r="N29" s="126"/>
      <c r="O29" s="126"/>
      <c r="P29" s="126"/>
    </row>
    <row r="30" spans="1:16" x14ac:dyDescent="0.2">
      <c r="A30" s="139"/>
      <c r="B30" s="140" t="s">
        <v>207</v>
      </c>
      <c r="C30" s="139" t="s">
        <v>208</v>
      </c>
      <c r="D30" s="141" t="s">
        <v>217</v>
      </c>
      <c r="E30" s="142" t="s">
        <v>218</v>
      </c>
      <c r="F30" s="140"/>
      <c r="G30" s="139" t="s">
        <v>216</v>
      </c>
      <c r="H30" s="139" t="s">
        <v>223</v>
      </c>
      <c r="I30" s="140"/>
      <c r="J30" s="140" t="s">
        <v>211</v>
      </c>
      <c r="K30" s="126"/>
      <c r="L30" s="126" t="s">
        <v>231</v>
      </c>
      <c r="M30" s="126"/>
      <c r="N30" s="126"/>
      <c r="O30" s="126"/>
      <c r="P30" s="126"/>
    </row>
    <row r="31" spans="1:16" x14ac:dyDescent="0.2">
      <c r="A31" s="143"/>
      <c r="B31" s="144"/>
      <c r="C31" s="145"/>
      <c r="D31" s="145">
        <f>IF(B23=0,B24*B55/C55,0)</f>
        <v>0</v>
      </c>
      <c r="E31" s="144">
        <f>IF(B23=0,B24*B48/C48,0)</f>
        <v>0</v>
      </c>
      <c r="F31" s="144"/>
      <c r="G31" s="145">
        <f>IF(F25="tst",D31,E31)</f>
        <v>0</v>
      </c>
      <c r="H31" s="152">
        <f>IF(B23=0,G31,B23)</f>
        <v>0</v>
      </c>
      <c r="I31" s="126"/>
      <c r="J31" s="146" t="s">
        <v>200</v>
      </c>
      <c r="K31" s="126"/>
      <c r="L31" s="126" t="s">
        <v>232</v>
      </c>
      <c r="M31" s="126"/>
      <c r="N31" s="126"/>
      <c r="O31" s="126"/>
      <c r="P31" s="126"/>
    </row>
    <row r="32" spans="1:16" x14ac:dyDescent="0.2">
      <c r="A32" s="143"/>
      <c r="B32" s="155"/>
      <c r="C32" s="156"/>
      <c r="D32" s="156"/>
      <c r="E32" s="155"/>
      <c r="F32" s="155"/>
      <c r="G32" s="156"/>
      <c r="H32" s="152">
        <f>IF(B24=0,G32,B24)</f>
        <v>0</v>
      </c>
      <c r="I32" s="126"/>
      <c r="J32" s="146" t="s">
        <v>204</v>
      </c>
      <c r="K32" s="126"/>
      <c r="L32" s="126" t="s">
        <v>233</v>
      </c>
      <c r="M32" s="126"/>
      <c r="N32" s="126"/>
      <c r="O32" s="126"/>
      <c r="P32" s="126"/>
    </row>
    <row r="33" spans="1:16" x14ac:dyDescent="0.2">
      <c r="A33" s="143"/>
      <c r="B33" s="155"/>
      <c r="C33" s="156"/>
      <c r="D33" s="156"/>
      <c r="E33" s="155"/>
      <c r="F33" s="155"/>
      <c r="G33" s="156"/>
      <c r="H33" s="152">
        <f>IF(B25=0,G33,B25)</f>
        <v>0</v>
      </c>
      <c r="I33" s="126"/>
      <c r="J33" s="146" t="s">
        <v>203</v>
      </c>
      <c r="K33" s="126"/>
      <c r="L33" s="126" t="s">
        <v>234</v>
      </c>
      <c r="M33" s="126"/>
      <c r="N33" s="126"/>
      <c r="O33" s="126"/>
      <c r="P33" s="126"/>
    </row>
    <row r="34" spans="1:16" x14ac:dyDescent="0.2">
      <c r="A34" s="143"/>
      <c r="B34" s="155"/>
      <c r="C34" s="156"/>
      <c r="D34" s="156"/>
      <c r="E34" s="155"/>
      <c r="F34" s="155"/>
      <c r="G34" s="156"/>
      <c r="H34" s="152">
        <f>IF(B26=0,G34,B26)</f>
        <v>0</v>
      </c>
      <c r="I34" s="126"/>
      <c r="J34" s="146" t="s">
        <v>202</v>
      </c>
      <c r="K34" s="126"/>
      <c r="L34" s="126" t="s">
        <v>235</v>
      </c>
      <c r="M34" s="126"/>
      <c r="N34" s="126"/>
      <c r="O34" s="126"/>
      <c r="P34" s="126"/>
    </row>
    <row r="35" spans="1:16" x14ac:dyDescent="0.2">
      <c r="A35" s="143"/>
      <c r="B35" s="144"/>
      <c r="C35" s="145"/>
      <c r="D35" s="147">
        <f>IF(B27=0,B26/E55*F55,0)</f>
        <v>0</v>
      </c>
      <c r="E35" s="144">
        <f>IF(B27=0,B26*F48/E48,0)</f>
        <v>0</v>
      </c>
      <c r="F35" s="144"/>
      <c r="G35" s="145">
        <f>IF(F25="tst",D35,E35)</f>
        <v>0</v>
      </c>
      <c r="H35" s="152">
        <f>IF(B27=0,G35,B27)</f>
        <v>0</v>
      </c>
      <c r="I35" s="126"/>
      <c r="J35" s="146" t="s">
        <v>201</v>
      </c>
      <c r="K35" s="126"/>
      <c r="L35" s="126" t="s">
        <v>236</v>
      </c>
      <c r="M35" s="126"/>
      <c r="N35" s="126"/>
      <c r="O35" s="126"/>
      <c r="P35" s="126"/>
    </row>
    <row r="36" spans="1:16" x14ac:dyDescent="0.2">
      <c r="A36" s="126"/>
      <c r="B36" s="126"/>
      <c r="C36" s="126"/>
      <c r="D36" s="126"/>
      <c r="E36" s="126"/>
      <c r="F36" s="126"/>
      <c r="G36" s="126"/>
      <c r="H36" s="126"/>
      <c r="I36" s="126"/>
      <c r="J36" s="126"/>
      <c r="K36" s="126"/>
      <c r="L36" s="126" t="s">
        <v>237</v>
      </c>
      <c r="M36" s="126"/>
      <c r="N36" s="126"/>
      <c r="O36" s="126"/>
      <c r="P36" s="126"/>
    </row>
    <row r="37" spans="1:16" x14ac:dyDescent="0.2">
      <c r="A37" s="148"/>
      <c r="B37" s="148"/>
      <c r="C37" s="148"/>
      <c r="D37" s="126"/>
      <c r="E37" s="126"/>
      <c r="F37" s="126"/>
      <c r="G37" s="126"/>
      <c r="H37" s="126"/>
      <c r="I37" s="126"/>
      <c r="J37" s="148"/>
      <c r="K37" s="148"/>
      <c r="L37" s="126" t="s">
        <v>238</v>
      </c>
      <c r="M37" s="148"/>
      <c r="N37" s="148"/>
      <c r="O37" s="148"/>
      <c r="P37" s="148"/>
    </row>
    <row r="38" spans="1:16" x14ac:dyDescent="0.2">
      <c r="A38" s="151" t="s">
        <v>222</v>
      </c>
      <c r="B38" s="151"/>
      <c r="C38" s="151"/>
      <c r="D38" s="151"/>
      <c r="E38" s="151"/>
      <c r="F38" s="151"/>
      <c r="G38" s="151"/>
      <c r="H38" s="151"/>
      <c r="I38" s="151"/>
      <c r="J38" s="125"/>
      <c r="K38" s="125"/>
      <c r="L38" s="151" t="s">
        <v>239</v>
      </c>
      <c r="M38" s="125"/>
      <c r="N38" s="125"/>
      <c r="O38" s="125"/>
      <c r="P38" s="125"/>
    </row>
    <row r="39" spans="1:16" x14ac:dyDescent="0.2">
      <c r="A39" s="151" t="s">
        <v>221</v>
      </c>
      <c r="B39" s="125"/>
      <c r="C39" s="125"/>
      <c r="D39" s="125"/>
      <c r="E39" s="125"/>
      <c r="F39" s="125"/>
      <c r="G39" s="125"/>
      <c r="H39" s="125"/>
      <c r="I39" s="125"/>
      <c r="J39" s="151"/>
      <c r="K39" s="125"/>
      <c r="L39" s="151" t="s">
        <v>240</v>
      </c>
      <c r="M39" s="125"/>
      <c r="N39" s="125"/>
      <c r="O39" s="125"/>
      <c r="P39" s="125"/>
    </row>
    <row r="40" spans="1:16" x14ac:dyDescent="0.2">
      <c r="A40" s="151"/>
      <c r="B40" s="151"/>
      <c r="C40" s="151"/>
      <c r="D40" s="151"/>
      <c r="E40" s="151"/>
      <c r="F40" s="151"/>
      <c r="G40" s="151"/>
      <c r="H40" s="151"/>
      <c r="I40" s="151"/>
      <c r="J40" s="151"/>
      <c r="K40" s="125"/>
      <c r="L40" s="151" t="s">
        <v>241</v>
      </c>
      <c r="M40" s="125"/>
      <c r="N40" s="125"/>
      <c r="O40" s="125"/>
      <c r="P40" s="125"/>
    </row>
    <row r="41" spans="1:16" x14ac:dyDescent="0.2">
      <c r="A41" s="151"/>
      <c r="B41" s="151"/>
      <c r="C41" s="151"/>
      <c r="D41" s="151"/>
      <c r="E41" s="151"/>
      <c r="F41" s="151"/>
      <c r="G41" s="151"/>
      <c r="H41" s="151"/>
      <c r="I41" s="151"/>
      <c r="J41" s="151"/>
      <c r="K41" s="125"/>
      <c r="L41" s="151" t="s">
        <v>242</v>
      </c>
      <c r="M41" s="125"/>
      <c r="N41" s="125"/>
      <c r="O41" s="125"/>
      <c r="P41" s="125"/>
    </row>
    <row r="42" spans="1:16" x14ac:dyDescent="0.2">
      <c r="A42" s="125"/>
      <c r="B42" s="125"/>
      <c r="C42" s="125"/>
      <c r="D42" s="125"/>
      <c r="E42" s="125"/>
      <c r="F42" s="125"/>
      <c r="G42" s="125"/>
      <c r="H42" s="125"/>
      <c r="I42" s="125"/>
      <c r="J42" s="125"/>
      <c r="K42" s="125"/>
      <c r="L42" s="125"/>
      <c r="M42" s="125"/>
      <c r="N42" s="125"/>
      <c r="O42" s="125"/>
      <c r="P42" s="125"/>
    </row>
    <row r="44" spans="1:16" x14ac:dyDescent="0.2">
      <c r="A44" s="98"/>
      <c r="B44" s="1288" t="s">
        <v>199</v>
      </c>
      <c r="C44" s="1288"/>
      <c r="D44" s="1288"/>
      <c r="E44" s="1288"/>
      <c r="F44" s="1288"/>
    </row>
    <row r="45" spans="1:16" ht="15" thickBot="1" x14ac:dyDescent="0.25">
      <c r="A45" s="98"/>
      <c r="B45" s="99"/>
      <c r="C45" s="100"/>
      <c r="D45" s="98"/>
      <c r="E45" s="40"/>
      <c r="F45" s="40"/>
    </row>
    <row r="46" spans="1:16" x14ac:dyDescent="0.2">
      <c r="A46" s="98"/>
      <c r="B46" s="101" t="s">
        <v>200</v>
      </c>
      <c r="C46" s="101" t="s">
        <v>204</v>
      </c>
      <c r="D46" s="101" t="s">
        <v>203</v>
      </c>
      <c r="E46" s="101" t="s">
        <v>202</v>
      </c>
      <c r="F46" s="101" t="s">
        <v>201</v>
      </c>
    </row>
    <row r="47" spans="1:16" ht="15" thickBot="1" x14ac:dyDescent="0.25">
      <c r="A47" s="98"/>
      <c r="B47" s="102"/>
      <c r="C47" s="102"/>
      <c r="D47" s="102"/>
      <c r="E47" s="102"/>
      <c r="F47" s="102"/>
    </row>
    <row r="48" spans="1:16" x14ac:dyDescent="0.2">
      <c r="A48" s="1289" t="s">
        <v>224</v>
      </c>
      <c r="B48" s="171">
        <v>0.78</v>
      </c>
      <c r="C48" s="171">
        <v>1</v>
      </c>
      <c r="D48" s="171">
        <v>1.36</v>
      </c>
      <c r="E48" s="171">
        <v>1.74</v>
      </c>
      <c r="F48" s="172">
        <v>1.91</v>
      </c>
    </row>
    <row r="49" spans="1:10" ht="15" thickBot="1" x14ac:dyDescent="0.25">
      <c r="A49" s="1290"/>
      <c r="B49" s="103"/>
      <c r="C49" s="121">
        <f>C48/B48-1</f>
        <v>0.28205128205128194</v>
      </c>
      <c r="D49" s="121">
        <f>D48/C48-1</f>
        <v>0.3600000000000001</v>
      </c>
      <c r="E49" s="121">
        <f>E48/D48-1</f>
        <v>0.27941176470588225</v>
      </c>
      <c r="F49" s="122">
        <f>F48/E48-1</f>
        <v>9.7701149425287293E-2</v>
      </c>
    </row>
    <row r="50" spans="1:10" ht="15" thickBot="1" x14ac:dyDescent="0.25">
      <c r="A50" s="41"/>
      <c r="B50" s="104"/>
      <c r="C50" s="104"/>
      <c r="D50" s="104"/>
      <c r="E50" s="104"/>
      <c r="F50" s="104"/>
    </row>
    <row r="51" spans="1:10" x14ac:dyDescent="0.2">
      <c r="A51" s="1291" t="s">
        <v>210</v>
      </c>
      <c r="B51" s="105">
        <v>125</v>
      </c>
      <c r="C51" s="105">
        <v>770</v>
      </c>
      <c r="D51" s="105">
        <v>1262</v>
      </c>
      <c r="E51" s="105">
        <v>1775</v>
      </c>
      <c r="F51" s="106">
        <v>2005</v>
      </c>
    </row>
    <row r="52" spans="1:10" x14ac:dyDescent="0.2">
      <c r="A52" s="1292"/>
      <c r="B52" s="107"/>
      <c r="C52" s="108">
        <v>1</v>
      </c>
      <c r="D52" s="109">
        <f>D51/C51</f>
        <v>1.638961038961039</v>
      </c>
      <c r="E52" s="109">
        <f>E51/C51</f>
        <v>2.3051948051948052</v>
      </c>
      <c r="F52" s="110">
        <f>F51/C51</f>
        <v>2.6038961038961039</v>
      </c>
    </row>
    <row r="53" spans="1:10" ht="15" thickBot="1" x14ac:dyDescent="0.25">
      <c r="A53" s="1293"/>
      <c r="B53" s="111"/>
      <c r="C53" s="112"/>
      <c r="D53" s="119">
        <f>D51/C51-1</f>
        <v>0.63896103896103895</v>
      </c>
      <c r="E53" s="119">
        <f>E51/D51-1</f>
        <v>0.40649762282091917</v>
      </c>
      <c r="F53" s="120">
        <f>F51/E51-1</f>
        <v>0.12957746478873244</v>
      </c>
    </row>
    <row r="54" spans="1:10" ht="15" thickBot="1" x14ac:dyDescent="0.25">
      <c r="A54" s="40"/>
      <c r="B54" s="113"/>
      <c r="C54" s="113"/>
      <c r="D54" s="113"/>
      <c r="E54" s="113"/>
      <c r="F54" s="113"/>
    </row>
    <row r="55" spans="1:10" x14ac:dyDescent="0.2">
      <c r="A55" s="1294" t="s">
        <v>209</v>
      </c>
      <c r="B55" s="114">
        <v>0.78</v>
      </c>
      <c r="C55" s="114">
        <v>1</v>
      </c>
      <c r="D55" s="114">
        <v>1.2</v>
      </c>
      <c r="E55" s="114">
        <v>1.4</v>
      </c>
      <c r="F55" s="115">
        <v>1.5</v>
      </c>
    </row>
    <row r="56" spans="1:10" ht="15" thickBot="1" x14ac:dyDescent="0.25">
      <c r="A56" s="1295"/>
      <c r="B56" s="116"/>
      <c r="C56" s="117">
        <f>C55/B55-1</f>
        <v>0.28205128205128194</v>
      </c>
      <c r="D56" s="117">
        <f>D55/C55-1</f>
        <v>0.19999999999999996</v>
      </c>
      <c r="E56" s="117">
        <f>E55/D55-1</f>
        <v>0.16666666666666674</v>
      </c>
      <c r="F56" s="118">
        <f>F55/E55-1</f>
        <v>7.1428571428571397E-2</v>
      </c>
    </row>
    <row r="59" spans="1:10" x14ac:dyDescent="0.2">
      <c r="A59" s="175" t="s">
        <v>315</v>
      </c>
      <c r="B59" s="21"/>
      <c r="C59" s="21"/>
      <c r="D59" s="21"/>
      <c r="E59" s="21"/>
      <c r="F59" s="167"/>
      <c r="J59" s="161" t="s">
        <v>322</v>
      </c>
    </row>
    <row r="60" spans="1:10" x14ac:dyDescent="0.2">
      <c r="A60" s="20"/>
      <c r="F60" s="19"/>
    </row>
    <row r="61" spans="1:10" ht="15" thickBot="1" x14ac:dyDescent="0.25">
      <c r="A61" s="176" t="s">
        <v>316</v>
      </c>
      <c r="B61" s="168" t="s">
        <v>317</v>
      </c>
      <c r="C61" s="168" t="s">
        <v>318</v>
      </c>
      <c r="D61" s="177" t="s">
        <v>319</v>
      </c>
      <c r="E61" s="178"/>
      <c r="F61" s="19"/>
    </row>
    <row r="62" spans="1:10" ht="15" thickBot="1" x14ac:dyDescent="0.25">
      <c r="A62" s="174">
        <v>1</v>
      </c>
      <c r="B62" s="174">
        <v>40</v>
      </c>
      <c r="C62" s="179">
        <v>0.75</v>
      </c>
      <c r="D62" s="180">
        <f>IF('C1_Allgemeine Angaben'!L45&lt;A63,C62,IF('C1_Allgemeine Angaben'!L45&lt;A64,C63,IF('C1_Allgemeine Angaben'!L45&lt;A65,C64,C65)))</f>
        <v>0.75</v>
      </c>
      <c r="E62" s="181"/>
      <c r="F62" s="19"/>
    </row>
    <row r="63" spans="1:10" x14ac:dyDescent="0.2">
      <c r="A63" s="174">
        <v>41</v>
      </c>
      <c r="B63" s="174">
        <v>80</v>
      </c>
      <c r="C63" s="182">
        <v>1</v>
      </c>
      <c r="F63" s="19"/>
    </row>
    <row r="64" spans="1:10" x14ac:dyDescent="0.2">
      <c r="A64" s="174">
        <v>81</v>
      </c>
      <c r="B64" s="174">
        <v>150</v>
      </c>
      <c r="C64" s="182">
        <v>1.25</v>
      </c>
      <c r="F64" s="19"/>
    </row>
    <row r="65" spans="1:8" x14ac:dyDescent="0.2">
      <c r="A65" s="174">
        <v>151</v>
      </c>
      <c r="B65" s="174" t="s">
        <v>320</v>
      </c>
      <c r="C65" s="182">
        <v>2</v>
      </c>
      <c r="F65" s="19"/>
    </row>
    <row r="66" spans="1:8" x14ac:dyDescent="0.2">
      <c r="A66" s="183"/>
      <c r="B66" s="89"/>
      <c r="C66" s="89"/>
      <c r="D66" s="89"/>
      <c r="E66" s="89"/>
      <c r="F66" s="184"/>
    </row>
    <row r="68" spans="1:8" ht="57" x14ac:dyDescent="0.2">
      <c r="A68" s="186"/>
      <c r="B68" s="186" t="s">
        <v>323</v>
      </c>
      <c r="C68" s="186" t="s">
        <v>324</v>
      </c>
      <c r="D68" s="186" t="s">
        <v>325</v>
      </c>
      <c r="E68" s="187" t="s">
        <v>326</v>
      </c>
      <c r="F68" s="186" t="s">
        <v>327</v>
      </c>
    </row>
    <row r="69" spans="1:8" x14ac:dyDescent="0.2">
      <c r="A69" s="188" t="s">
        <v>57</v>
      </c>
      <c r="B69" s="189">
        <f>'C1_Kalkulation'!H14</f>
        <v>0</v>
      </c>
      <c r="C69" s="190">
        <f>'C1_Kalkulation'!I20</f>
        <v>0</v>
      </c>
      <c r="D69" s="174" t="e">
        <f>B69/C69</f>
        <v>#DIV/0!</v>
      </c>
      <c r="E69" s="191" t="e">
        <f>D69/$D$74</f>
        <v>#DIV/0!</v>
      </c>
      <c r="F69" s="174" t="e">
        <f>E69*$F$76</f>
        <v>#DIV/0!</v>
      </c>
    </row>
    <row r="70" spans="1:8" x14ac:dyDescent="0.2">
      <c r="A70" s="188" t="s">
        <v>58</v>
      </c>
      <c r="B70" s="189">
        <f>'C1_Kalkulation'!I14</f>
        <v>0</v>
      </c>
      <c r="C70" s="190">
        <f>'C1_Kalkulation'!I21</f>
        <v>0</v>
      </c>
      <c r="D70" s="174" t="e">
        <f>B70/C70</f>
        <v>#DIV/0!</v>
      </c>
      <c r="E70" s="191" t="e">
        <f>D70/$D$74</f>
        <v>#DIV/0!</v>
      </c>
      <c r="F70" s="174" t="e">
        <f>E70*$F$76</f>
        <v>#DIV/0!</v>
      </c>
    </row>
    <row r="71" spans="1:8" x14ac:dyDescent="0.2">
      <c r="A71" s="188" t="s">
        <v>59</v>
      </c>
      <c r="B71" s="189">
        <f>'C1_Kalkulation'!J14</f>
        <v>0</v>
      </c>
      <c r="C71" s="190">
        <f>'C1_Kalkulation'!I22</f>
        <v>0</v>
      </c>
      <c r="D71" s="174" t="e">
        <f>B71/C71</f>
        <v>#DIV/0!</v>
      </c>
      <c r="E71" s="191" t="e">
        <f>D71/$D$74</f>
        <v>#DIV/0!</v>
      </c>
      <c r="F71" s="174" t="e">
        <f>E71*$F$76</f>
        <v>#DIV/0!</v>
      </c>
    </row>
    <row r="72" spans="1:8" x14ac:dyDescent="0.2">
      <c r="A72" s="188" t="s">
        <v>60</v>
      </c>
      <c r="B72" s="189">
        <f>'C1_Kalkulation'!K14</f>
        <v>0</v>
      </c>
      <c r="C72" s="190">
        <f>'C1_Kalkulation'!I23</f>
        <v>0</v>
      </c>
      <c r="D72" s="174" t="e">
        <f>B72/C72</f>
        <v>#DIV/0!</v>
      </c>
      <c r="E72" s="191" t="e">
        <f>D72/$D$74</f>
        <v>#DIV/0!</v>
      </c>
      <c r="F72" s="174" t="e">
        <f>E72*$F$76</f>
        <v>#DIV/0!</v>
      </c>
    </row>
    <row r="73" spans="1:8" ht="15" thickBot="1" x14ac:dyDescent="0.25">
      <c r="A73" s="192" t="s">
        <v>61</v>
      </c>
      <c r="B73" s="193">
        <f>'C1_Kalkulation'!L14</f>
        <v>0</v>
      </c>
      <c r="C73" s="194">
        <f>'C1_Kalkulation'!I24</f>
        <v>0</v>
      </c>
      <c r="D73" s="195" t="e">
        <f>B73/C73</f>
        <v>#DIV/0!</v>
      </c>
      <c r="E73" s="196" t="e">
        <f>D73/$D$74</f>
        <v>#DIV/0!</v>
      </c>
      <c r="F73" s="174" t="e">
        <f>E73*$F$76</f>
        <v>#DIV/0!</v>
      </c>
    </row>
    <row r="74" spans="1:8" x14ac:dyDescent="0.2">
      <c r="A74" s="197" t="s">
        <v>328</v>
      </c>
      <c r="B74" s="198">
        <f>SUM(B69:B73)</f>
        <v>0</v>
      </c>
      <c r="C74" s="199"/>
      <c r="D74" s="199" t="e">
        <f>SUM(D69:D73)</f>
        <v>#DIV/0!</v>
      </c>
      <c r="E74" s="200">
        <v>1</v>
      </c>
      <c r="F74" s="201" t="e">
        <f>SUM(F69:F73)</f>
        <v>#DIV/0!</v>
      </c>
    </row>
    <row r="75" spans="1:8" x14ac:dyDescent="0.2">
      <c r="A75" s="188" t="s">
        <v>329</v>
      </c>
      <c r="B75" s="168"/>
      <c r="C75" s="168"/>
      <c r="D75" s="206">
        <f>D62</f>
        <v>0.75</v>
      </c>
      <c r="E75" s="202"/>
      <c r="F75" s="203"/>
    </row>
    <row r="76" spans="1:8" ht="29.25" thickBot="1" x14ac:dyDescent="0.25">
      <c r="A76" s="207" t="s">
        <v>330</v>
      </c>
      <c r="B76" s="204"/>
      <c r="C76" s="204"/>
      <c r="D76" s="205" t="e">
        <f>SUM(D74:D75)</f>
        <v>#DIV/0!</v>
      </c>
      <c r="E76" s="204"/>
      <c r="F76" s="205" t="e">
        <f>D76*'C1_Kalkulation'!L26</f>
        <v>#DIV/0!</v>
      </c>
    </row>
    <row r="77" spans="1:8" ht="15" thickTop="1" x14ac:dyDescent="0.2">
      <c r="A77" s="375"/>
    </row>
    <row r="78" spans="1:8" ht="15" customHeight="1" thickBot="1" x14ac:dyDescent="0.25">
      <c r="A78" s="1282" t="s">
        <v>343</v>
      </c>
      <c r="B78" s="1282"/>
      <c r="C78" s="1282"/>
      <c r="D78" s="1282"/>
      <c r="E78" s="1282"/>
      <c r="F78" s="1282"/>
      <c r="G78" s="1282"/>
      <c r="H78" s="1282"/>
    </row>
    <row r="79" spans="1:8" x14ac:dyDescent="0.2">
      <c r="A79" s="341"/>
      <c r="B79" s="1278" t="s">
        <v>334</v>
      </c>
      <c r="C79" s="1279"/>
      <c r="D79" s="1279"/>
      <c r="E79" s="1280"/>
      <c r="F79" s="1278" t="s">
        <v>335</v>
      </c>
      <c r="G79" s="1281"/>
      <c r="H79" s="1274" t="s">
        <v>336</v>
      </c>
    </row>
    <row r="80" spans="1:8" ht="71.25" x14ac:dyDescent="0.2">
      <c r="A80" s="342"/>
      <c r="B80" s="343" t="s">
        <v>323</v>
      </c>
      <c r="C80" s="344" t="s">
        <v>337</v>
      </c>
      <c r="D80" s="345" t="s">
        <v>338</v>
      </c>
      <c r="E80" s="346" t="s">
        <v>339</v>
      </c>
      <c r="F80" s="343" t="s">
        <v>338</v>
      </c>
      <c r="G80" s="347" t="s">
        <v>340</v>
      </c>
      <c r="H80" s="1275"/>
    </row>
    <row r="81" spans="1:8" x14ac:dyDescent="0.2">
      <c r="A81" s="348" t="s">
        <v>57</v>
      </c>
      <c r="B81" s="349">
        <f>'C1_Kalkulation'!H14</f>
        <v>0</v>
      </c>
      <c r="C81" s="350">
        <f>'C1_Kalkulation'!I20</f>
        <v>0</v>
      </c>
      <c r="D81" s="351">
        <f>IFERROR(B81/C81,0)</f>
        <v>0</v>
      </c>
      <c r="E81" s="352">
        <f>IFERROR(D81/$D$86,0)</f>
        <v>0</v>
      </c>
      <c r="F81" s="353">
        <f>IFERROR($D$88*E81,0)</f>
        <v>0</v>
      </c>
      <c r="G81" s="354">
        <f>IF(F81=0,C81,B81/F81)</f>
        <v>0</v>
      </c>
      <c r="H81" s="355" t="e">
        <f>ROUND(B81/G81,3)</f>
        <v>#DIV/0!</v>
      </c>
    </row>
    <row r="82" spans="1:8" x14ac:dyDescent="0.2">
      <c r="A82" s="348" t="s">
        <v>58</v>
      </c>
      <c r="B82" s="349">
        <f>'C1_Kalkulation'!I14</f>
        <v>0</v>
      </c>
      <c r="C82" s="350">
        <f>'C1_Kalkulation'!I21</f>
        <v>0</v>
      </c>
      <c r="D82" s="351">
        <f>IFERROR(B82/C82,0)</f>
        <v>0</v>
      </c>
      <c r="E82" s="352">
        <f>IFERROR(D82/$D$86,0)</f>
        <v>0</v>
      </c>
      <c r="F82" s="353">
        <f>IFERROR($D$88*E82,0)</f>
        <v>0</v>
      </c>
      <c r="G82" s="354">
        <f>IFERROR(B82/F82,0)</f>
        <v>0</v>
      </c>
      <c r="H82" s="355" t="e">
        <f>ROUND(B82/G82,3)</f>
        <v>#DIV/0!</v>
      </c>
    </row>
    <row r="83" spans="1:8" x14ac:dyDescent="0.2">
      <c r="A83" s="348" t="s">
        <v>59</v>
      </c>
      <c r="B83" s="349">
        <f>'C1_Kalkulation'!J14</f>
        <v>0</v>
      </c>
      <c r="C83" s="350">
        <f>'C1_Kalkulation'!I22</f>
        <v>0</v>
      </c>
      <c r="D83" s="351">
        <f>IFERROR(B83/C83,0)</f>
        <v>0</v>
      </c>
      <c r="E83" s="352">
        <f>IFERROR(D83/$D$86,0)</f>
        <v>0</v>
      </c>
      <c r="F83" s="353">
        <f>IFERROR($D$88*E83,0)</f>
        <v>0</v>
      </c>
      <c r="G83" s="354">
        <f>IFERROR(B83/F83,0)</f>
        <v>0</v>
      </c>
      <c r="H83" s="355" t="e">
        <f>ROUND(B83/G83,3)</f>
        <v>#DIV/0!</v>
      </c>
    </row>
    <row r="84" spans="1:8" x14ac:dyDescent="0.2">
      <c r="A84" s="348" t="s">
        <v>60</v>
      </c>
      <c r="B84" s="349">
        <f>'C1_Kalkulation'!K14</f>
        <v>0</v>
      </c>
      <c r="C84" s="350">
        <f>'C1_Kalkulation'!I23</f>
        <v>0</v>
      </c>
      <c r="D84" s="351">
        <f>IFERROR(B84/C84,0)</f>
        <v>0</v>
      </c>
      <c r="E84" s="352">
        <f>IFERROR(D84/$D$86,0)</f>
        <v>0</v>
      </c>
      <c r="F84" s="353">
        <f>IFERROR($D$88*E84,0)</f>
        <v>0</v>
      </c>
      <c r="G84" s="354">
        <f>IFERROR(B84/F84,0)</f>
        <v>0</v>
      </c>
      <c r="H84" s="355" t="e">
        <f>ROUND(B84/G84,3)</f>
        <v>#DIV/0!</v>
      </c>
    </row>
    <row r="85" spans="1:8" x14ac:dyDescent="0.2">
      <c r="A85" s="348" t="s">
        <v>61</v>
      </c>
      <c r="B85" s="356">
        <f>'C1_Kalkulation'!L14</f>
        <v>0</v>
      </c>
      <c r="C85" s="350">
        <f>'C1_Kalkulation'!I24</f>
        <v>0</v>
      </c>
      <c r="D85" s="357">
        <f>IFERROR(B85/C85,0)</f>
        <v>0</v>
      </c>
      <c r="E85" s="352">
        <f>IFERROR(D85/$D$86,0)</f>
        <v>0</v>
      </c>
      <c r="F85" s="353">
        <f>IFERROR($D$88*E85,0)</f>
        <v>0</v>
      </c>
      <c r="G85" s="354">
        <f>IF(F85=0,C85,B85/F85)</f>
        <v>0</v>
      </c>
      <c r="H85" s="355" t="e">
        <f>ROUND(B85/G85,3)</f>
        <v>#DIV/0!</v>
      </c>
    </row>
    <row r="86" spans="1:8" ht="15" thickBot="1" x14ac:dyDescent="0.25">
      <c r="A86" s="358" t="s">
        <v>328</v>
      </c>
      <c r="B86" s="359"/>
      <c r="C86" s="360"/>
      <c r="D86" s="361">
        <f>SUM(D81:D85)</f>
        <v>0</v>
      </c>
      <c r="E86" s="362">
        <f>SUM(E81:E85)</f>
        <v>0</v>
      </c>
      <c r="F86" s="363"/>
      <c r="G86" s="259"/>
      <c r="H86" s="364"/>
    </row>
    <row r="87" spans="1:8" ht="15" thickTop="1" x14ac:dyDescent="0.2">
      <c r="A87" s="365"/>
      <c r="B87" s="1276" t="s">
        <v>341</v>
      </c>
      <c r="C87" s="1277"/>
      <c r="D87" s="366" t="str">
        <f>'C1_Kalkulation'!J25</f>
        <v/>
      </c>
      <c r="F87" s="367"/>
      <c r="G87" s="259"/>
      <c r="H87" s="364"/>
    </row>
    <row r="88" spans="1:8" ht="15" thickBot="1" x14ac:dyDescent="0.25">
      <c r="A88" s="368" t="s">
        <v>342</v>
      </c>
      <c r="B88" s="369">
        <f>SUM(B81:B85)</f>
        <v>0</v>
      </c>
      <c r="C88" s="370"/>
      <c r="D88" s="371">
        <f>SUM(D86:D87)</f>
        <v>0</v>
      </c>
      <c r="E88" s="372"/>
      <c r="F88" s="373">
        <f>SUM(F81:F87)</f>
        <v>0</v>
      </c>
      <c r="G88" s="372"/>
      <c r="H88" s="374" t="e">
        <f>SUM(H81:H87)</f>
        <v>#DIV/0!</v>
      </c>
    </row>
    <row r="89" spans="1:8" ht="15" thickTop="1" x14ac:dyDescent="0.2"/>
    <row r="90" spans="1:8" x14ac:dyDescent="0.2">
      <c r="A90" s="410"/>
    </row>
    <row r="91" spans="1:8" x14ac:dyDescent="0.2">
      <c r="A91" s="1266" t="s">
        <v>751</v>
      </c>
      <c r="B91" s="1266"/>
      <c r="C91" s="1266"/>
    </row>
    <row r="92" spans="1:8" x14ac:dyDescent="0.2">
      <c r="A92" s="1267" t="s">
        <v>346</v>
      </c>
      <c r="B92" s="1268" t="s">
        <v>374</v>
      </c>
      <c r="C92" s="1268"/>
    </row>
    <row r="93" spans="1:8" x14ac:dyDescent="0.2">
      <c r="A93" s="1267"/>
      <c r="B93" s="188" t="s">
        <v>375</v>
      </c>
      <c r="C93" s="188" t="s">
        <v>353</v>
      </c>
    </row>
    <row r="94" spans="1:8" x14ac:dyDescent="0.2">
      <c r="A94" s="412" t="s">
        <v>372</v>
      </c>
      <c r="B94" s="1062">
        <v>8.5000000000000006E-2</v>
      </c>
      <c r="C94" s="414">
        <v>2.5000000000000001E-2</v>
      </c>
      <c r="D94" t="s">
        <v>516</v>
      </c>
    </row>
    <row r="95" spans="1:8" x14ac:dyDescent="0.2">
      <c r="A95" s="412" t="s">
        <v>139</v>
      </c>
      <c r="B95" s="1062">
        <v>3.6499999999999998E-2</v>
      </c>
      <c r="C95" s="414">
        <v>0.03</v>
      </c>
      <c r="D95" t="s">
        <v>749</v>
      </c>
    </row>
    <row r="96" spans="1:8" ht="25.5" x14ac:dyDescent="0.2">
      <c r="A96" s="413" t="s">
        <v>373</v>
      </c>
      <c r="B96" s="1062">
        <v>4.1500000000000002E-2</v>
      </c>
      <c r="C96" s="414">
        <v>0.03</v>
      </c>
    </row>
    <row r="97" spans="1:4" ht="15" thickBot="1" x14ac:dyDescent="0.25">
      <c r="A97" s="410"/>
    </row>
    <row r="98" spans="1:4" ht="15" thickBot="1" x14ac:dyDescent="0.25">
      <c r="A98" s="449" t="s">
        <v>413</v>
      </c>
      <c r="B98" s="1283" t="s">
        <v>666</v>
      </c>
      <c r="C98" s="1284"/>
      <c r="D98" s="1285"/>
    </row>
    <row r="99" spans="1:4" ht="15" thickBot="1" x14ac:dyDescent="0.25">
      <c r="A99" s="450" t="s">
        <v>414</v>
      </c>
      <c r="B99" s="451" t="s">
        <v>415</v>
      </c>
      <c r="C99" s="452" t="s">
        <v>416</v>
      </c>
      <c r="D99" s="461" t="s">
        <v>417</v>
      </c>
    </row>
    <row r="100" spans="1:4" x14ac:dyDescent="0.2">
      <c r="A100" s="453" t="s">
        <v>418</v>
      </c>
      <c r="B100" s="1014">
        <v>0.16400000000000001</v>
      </c>
      <c r="C100" s="468">
        <f>B100/2</f>
        <v>8.2000000000000003E-2</v>
      </c>
      <c r="D100" s="466">
        <f>C100</f>
        <v>8.2000000000000003E-2</v>
      </c>
    </row>
    <row r="101" spans="1:4" x14ac:dyDescent="0.2">
      <c r="A101" s="454" t="s">
        <v>419</v>
      </c>
      <c r="B101" s="469">
        <v>0.186</v>
      </c>
      <c r="C101" s="468">
        <f t="shared" ref="C101:C102" si="8">B101/2</f>
        <v>9.2999999999999999E-2</v>
      </c>
      <c r="D101" s="466">
        <f t="shared" ref="D101:D102" si="9">C101</f>
        <v>9.2999999999999999E-2</v>
      </c>
    </row>
    <row r="102" spans="1:4" x14ac:dyDescent="0.2">
      <c r="A102" s="454" t="s">
        <v>420</v>
      </c>
      <c r="B102" s="469">
        <v>2.5999999999999999E-2</v>
      </c>
      <c r="C102" s="468">
        <f t="shared" si="8"/>
        <v>1.2999999999999999E-2</v>
      </c>
      <c r="D102" s="466">
        <f t="shared" si="9"/>
        <v>1.2999999999999999E-2</v>
      </c>
    </row>
    <row r="103" spans="1:4" ht="15" thickBot="1" x14ac:dyDescent="0.25">
      <c r="A103" s="454" t="s">
        <v>421</v>
      </c>
      <c r="B103" s="470">
        <v>3.4000000000000002E-2</v>
      </c>
      <c r="C103" s="468">
        <v>1.2E-2</v>
      </c>
      <c r="D103" s="465">
        <f>B103-C103</f>
        <v>2.2000000000000002E-2</v>
      </c>
    </row>
    <row r="104" spans="1:4" ht="15" thickBot="1" x14ac:dyDescent="0.25">
      <c r="A104" s="455" t="s">
        <v>422</v>
      </c>
      <c r="B104" s="463"/>
      <c r="C104" s="467">
        <f>(C103+C102+C101+C100)</f>
        <v>0.2</v>
      </c>
      <c r="D104" s="462"/>
    </row>
    <row r="105" spans="1:4" x14ac:dyDescent="0.2">
      <c r="A105" s="456" t="s">
        <v>423</v>
      </c>
      <c r="B105" s="457" t="s">
        <v>424</v>
      </c>
      <c r="C105" s="1015">
        <v>7.9000000000000008E-3</v>
      </c>
      <c r="D105" s="464"/>
    </row>
    <row r="106" spans="1:4" ht="15" thickBot="1" x14ac:dyDescent="0.25">
      <c r="A106" s="456" t="s">
        <v>426</v>
      </c>
      <c r="B106" s="457" t="s">
        <v>427</v>
      </c>
      <c r="C106" s="471">
        <v>2.1499999999999998E-2</v>
      </c>
      <c r="D106" s="459"/>
    </row>
    <row r="107" spans="1:4" ht="15" thickBot="1" x14ac:dyDescent="0.25">
      <c r="A107" s="458" t="s">
        <v>428</v>
      </c>
      <c r="B107" s="451"/>
      <c r="C107" s="472">
        <v>5.9999999999999995E-4</v>
      </c>
      <c r="D107" s="459"/>
    </row>
    <row r="108" spans="1:4" ht="15" thickBot="1" x14ac:dyDescent="0.25">
      <c r="A108" s="1286" t="s">
        <v>425</v>
      </c>
      <c r="B108" s="1287"/>
      <c r="C108" s="473">
        <f>(C104+C105+C107)</f>
        <v>0.20849999999999999</v>
      </c>
      <c r="D108" s="459"/>
    </row>
    <row r="109" spans="1:4" ht="15" thickBot="1" x14ac:dyDescent="0.25">
      <c r="A109" s="1286" t="s">
        <v>429</v>
      </c>
      <c r="B109" s="1287"/>
      <c r="C109" s="473">
        <f>C108+C106</f>
        <v>0.22999999999999998</v>
      </c>
      <c r="D109" s="460"/>
    </row>
    <row r="112" spans="1:4" x14ac:dyDescent="0.2">
      <c r="A112" t="s">
        <v>664</v>
      </c>
    </row>
    <row r="113" spans="1:2" x14ac:dyDescent="0.2">
      <c r="A113" t="s">
        <v>131</v>
      </c>
      <c r="B113" t="s">
        <v>665</v>
      </c>
    </row>
  </sheetData>
  <sheetProtection algorithmName="SHA-512" hashValue="tnwtAu6h/dliKyd/GOPkY7NMr269bFPkEVEdJZr8tXUQj5BNTHD1rmP/a4IWYusgF50XakVBLYNM+0kWWmwa2w==" saltValue="WrJewS12rwdp5gwLX29dGg==" spinCount="100000" sheet="1" objects="1" scenarios="1"/>
  <customSheetViews>
    <customSheetView guid="{9119B1A0-FD79-4FE4-B78E-10E0AEB8080B}" state="hidden" topLeftCell="A70">
      <selection activeCell="G81" sqref="G81"/>
      <pageMargins left="0.7" right="0.7" top="0.78740157499999996" bottom="0.78740157499999996" header="0.3" footer="0.3"/>
      <pageSetup paperSize="9" orientation="portrait"/>
    </customSheetView>
  </customSheetViews>
  <mergeCells count="17">
    <mergeCell ref="B98:D98"/>
    <mergeCell ref="A108:B108"/>
    <mergeCell ref="A109:B109"/>
    <mergeCell ref="B44:F44"/>
    <mergeCell ref="A48:A49"/>
    <mergeCell ref="A51:A53"/>
    <mergeCell ref="A55:A56"/>
    <mergeCell ref="A91:C91"/>
    <mergeCell ref="A92:A93"/>
    <mergeCell ref="B92:C92"/>
    <mergeCell ref="B9:D9"/>
    <mergeCell ref="C10:D11"/>
    <mergeCell ref="H79:H80"/>
    <mergeCell ref="B87:C87"/>
    <mergeCell ref="B79:E79"/>
    <mergeCell ref="F79:G79"/>
    <mergeCell ref="A78:H78"/>
  </mergeCells>
  <phoneticPr fontId="58" type="noConversion"/>
  <dataValidations count="1">
    <dataValidation type="list" allowBlank="1" showInputMessage="1" showErrorMessage="1" sqref="A113" xr:uid="{00000000-0002-0000-0A00-000000000000}">
      <formula1>"ja,nein"</formula1>
    </dataValidation>
  </dataValidations>
  <pageMargins left="0.70866141732283472" right="0.70866141732283472" top="0.78740157480314965" bottom="0.78740157480314965" header="0.31496062992125984" footer="0.31496062992125984"/>
  <pageSetup paperSize="9" orientation="portrait"/>
  <headerFooter>
    <oddFooter>&amp;C_x000D_&amp;1#&amp;"Calibri"&amp;10&amp;K000000 öffentlich</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S52"/>
  <sheetViews>
    <sheetView workbookViewId="0">
      <pane ySplit="4" topLeftCell="A5" activePane="bottomLeft" state="frozen"/>
      <selection activeCell="K49" sqref="K49"/>
      <selection pane="bottomLeft" activeCell="K49" sqref="K49"/>
    </sheetView>
  </sheetViews>
  <sheetFormatPr baseColWidth="10" defaultColWidth="10" defaultRowHeight="14.25" x14ac:dyDescent="0.2"/>
  <cols>
    <col min="1" max="3" width="10" style="287"/>
    <col min="4" max="4" width="7.625" style="287" customWidth="1"/>
    <col min="5" max="5" width="2.875" style="287" customWidth="1"/>
    <col min="6" max="6" width="2" style="287" customWidth="1"/>
    <col min="7" max="7" width="10.625" style="287" customWidth="1"/>
    <col min="8" max="8" width="10" style="287"/>
    <col min="9" max="9" width="11.5" style="287" customWidth="1"/>
    <col min="10" max="11" width="0" style="287" hidden="1" customWidth="1"/>
    <col min="12" max="16384" width="10" style="287"/>
  </cols>
  <sheetData>
    <row r="1" spans="1:19" ht="15" customHeight="1" x14ac:dyDescent="0.2">
      <c r="A1" s="1296" t="s">
        <v>167</v>
      </c>
      <c r="B1" s="1297"/>
      <c r="C1" s="1297"/>
      <c r="D1" s="1297"/>
      <c r="E1" s="1297"/>
      <c r="F1" s="1297"/>
      <c r="G1" s="1297"/>
      <c r="H1" s="1297"/>
      <c r="I1" s="1298"/>
      <c r="J1" s="286" t="s">
        <v>246</v>
      </c>
    </row>
    <row r="2" spans="1:19" x14ac:dyDescent="0.2">
      <c r="A2" s="1299"/>
      <c r="B2" s="1300"/>
      <c r="C2" s="1300"/>
      <c r="D2" s="1300"/>
      <c r="E2" s="1300"/>
      <c r="F2" s="1300"/>
      <c r="G2" s="1300"/>
      <c r="H2" s="1300"/>
      <c r="I2" s="1301"/>
      <c r="J2" s="284" t="s">
        <v>254</v>
      </c>
    </row>
    <row r="3" spans="1:19" x14ac:dyDescent="0.2">
      <c r="A3" s="1299"/>
      <c r="B3" s="1300"/>
      <c r="C3" s="1300"/>
      <c r="D3" s="1300"/>
      <c r="E3" s="1300"/>
      <c r="F3" s="1300"/>
      <c r="G3" s="1300"/>
      <c r="H3" s="1300"/>
      <c r="I3" s="1301"/>
      <c r="J3" s="288"/>
    </row>
    <row r="4" spans="1:19" x14ac:dyDescent="0.2">
      <c r="A4" s="1302"/>
      <c r="B4" s="1303"/>
      <c r="C4" s="1303"/>
      <c r="D4" s="1303"/>
      <c r="E4" s="1303"/>
      <c r="F4" s="1303"/>
      <c r="G4" s="1303"/>
      <c r="H4" s="1303"/>
      <c r="I4" s="1304"/>
    </row>
    <row r="5" spans="1:19" x14ac:dyDescent="0.2">
      <c r="A5" s="289" t="s">
        <v>168</v>
      </c>
      <c r="I5" s="290"/>
      <c r="J5" s="57" t="s">
        <v>247</v>
      </c>
    </row>
    <row r="6" spans="1:19" x14ac:dyDescent="0.2">
      <c r="A6" s="291" t="s">
        <v>250</v>
      </c>
      <c r="I6" s="290"/>
      <c r="J6" s="292" t="s">
        <v>248</v>
      </c>
      <c r="K6" s="293"/>
      <c r="L6" s="293"/>
      <c r="M6" s="293"/>
      <c r="N6" s="293"/>
      <c r="O6" s="293"/>
      <c r="P6" s="293"/>
      <c r="Q6" s="293"/>
      <c r="R6" s="293"/>
      <c r="S6" s="293"/>
    </row>
    <row r="7" spans="1:19" x14ac:dyDescent="0.2">
      <c r="A7" s="291" t="s">
        <v>248</v>
      </c>
      <c r="E7" s="92"/>
      <c r="I7" s="290"/>
      <c r="J7" s="57" t="s">
        <v>249</v>
      </c>
    </row>
    <row r="8" spans="1:19" x14ac:dyDescent="0.2">
      <c r="A8" s="294" t="s">
        <v>249</v>
      </c>
      <c r="I8" s="290"/>
      <c r="J8" s="289"/>
    </row>
    <row r="9" spans="1:19" x14ac:dyDescent="0.2">
      <c r="A9" s="289" t="s">
        <v>169</v>
      </c>
      <c r="I9" s="290"/>
      <c r="J9" s="289"/>
    </row>
    <row r="10" spans="1:19" x14ac:dyDescent="0.2">
      <c r="A10" s="289" t="s">
        <v>170</v>
      </c>
      <c r="I10" s="290"/>
      <c r="J10" s="289"/>
    </row>
    <row r="11" spans="1:19" x14ac:dyDescent="0.2">
      <c r="A11" s="289"/>
      <c r="I11" s="290"/>
      <c r="J11" s="289"/>
    </row>
    <row r="12" spans="1:19" x14ac:dyDescent="0.2">
      <c r="A12" s="289" t="s">
        <v>171</v>
      </c>
      <c r="E12" s="92"/>
      <c r="I12" s="290"/>
    </row>
    <row r="13" spans="1:19" x14ac:dyDescent="0.2">
      <c r="A13" s="289" t="s">
        <v>172</v>
      </c>
      <c r="I13" s="290"/>
    </row>
    <row r="14" spans="1:19" x14ac:dyDescent="0.2">
      <c r="A14" s="289" t="s">
        <v>173</v>
      </c>
      <c r="I14" s="290"/>
    </row>
    <row r="15" spans="1:19" x14ac:dyDescent="0.2">
      <c r="A15" s="289"/>
      <c r="I15" s="290"/>
    </row>
    <row r="16" spans="1:19" x14ac:dyDescent="0.2">
      <c r="A16" s="289" t="s">
        <v>174</v>
      </c>
      <c r="E16" s="92"/>
      <c r="I16" s="290"/>
    </row>
    <row r="17" spans="1:10" x14ac:dyDescent="0.2">
      <c r="A17" s="289" t="s">
        <v>175</v>
      </c>
      <c r="I17" s="290"/>
    </row>
    <row r="18" spans="1:10" x14ac:dyDescent="0.2">
      <c r="A18" s="289" t="s">
        <v>176</v>
      </c>
      <c r="I18" s="290"/>
    </row>
    <row r="19" spans="1:10" x14ac:dyDescent="0.2">
      <c r="A19" s="289" t="s">
        <v>177</v>
      </c>
      <c r="I19" s="290"/>
    </row>
    <row r="20" spans="1:10" x14ac:dyDescent="0.2">
      <c r="A20" s="289"/>
      <c r="I20" s="290"/>
    </row>
    <row r="21" spans="1:10" x14ac:dyDescent="0.2">
      <c r="A21" s="289" t="s">
        <v>178</v>
      </c>
      <c r="E21" s="92"/>
      <c r="G21" s="162" t="s">
        <v>253</v>
      </c>
      <c r="I21" s="290"/>
      <c r="J21" s="163" t="s">
        <v>253</v>
      </c>
    </row>
    <row r="22" spans="1:10" x14ac:dyDescent="0.2">
      <c r="A22" s="289" t="s">
        <v>251</v>
      </c>
      <c r="I22" s="290"/>
      <c r="J22" s="295" t="s">
        <v>251</v>
      </c>
    </row>
    <row r="23" spans="1:10" x14ac:dyDescent="0.2">
      <c r="A23" s="291" t="s">
        <v>252</v>
      </c>
      <c r="I23" s="290"/>
      <c r="J23" s="295" t="s">
        <v>252</v>
      </c>
    </row>
    <row r="24" spans="1:10" x14ac:dyDescent="0.2">
      <c r="A24" s="289"/>
      <c r="I24" s="290"/>
    </row>
    <row r="25" spans="1:10" x14ac:dyDescent="0.2">
      <c r="A25" s="296" t="s">
        <v>179</v>
      </c>
      <c r="I25" s="290"/>
    </row>
    <row r="26" spans="1:10" x14ac:dyDescent="0.2">
      <c r="A26" s="289"/>
      <c r="I26" s="290"/>
    </row>
    <row r="27" spans="1:10" x14ac:dyDescent="0.2">
      <c r="A27" s="289" t="s">
        <v>180</v>
      </c>
      <c r="E27" s="92"/>
      <c r="I27" s="290"/>
    </row>
    <row r="28" spans="1:10" x14ac:dyDescent="0.2">
      <c r="A28" s="289" t="s">
        <v>181</v>
      </c>
      <c r="I28" s="290"/>
    </row>
    <row r="29" spans="1:10" x14ac:dyDescent="0.2">
      <c r="A29" s="289" t="s">
        <v>182</v>
      </c>
      <c r="I29" s="290"/>
    </row>
    <row r="30" spans="1:10" x14ac:dyDescent="0.2">
      <c r="A30" s="289" t="s">
        <v>183</v>
      </c>
      <c r="I30" s="290"/>
    </row>
    <row r="31" spans="1:10" x14ac:dyDescent="0.2">
      <c r="A31" s="289"/>
      <c r="I31" s="290"/>
    </row>
    <row r="32" spans="1:10" ht="18" x14ac:dyDescent="0.25">
      <c r="A32" s="296" t="s">
        <v>184</v>
      </c>
      <c r="D32" s="297"/>
      <c r="G32" s="298" t="s">
        <v>185</v>
      </c>
      <c r="H32" s="299"/>
      <c r="I32" s="300"/>
      <c r="J32" s="288"/>
    </row>
    <row r="33" spans="1:9" x14ac:dyDescent="0.2">
      <c r="A33" s="289"/>
      <c r="G33" s="289"/>
      <c r="I33" s="290"/>
    </row>
    <row r="34" spans="1:9" x14ac:dyDescent="0.2">
      <c r="A34" s="289" t="s">
        <v>186</v>
      </c>
      <c r="E34" s="92"/>
      <c r="G34" s="289" t="s">
        <v>188</v>
      </c>
      <c r="I34" s="290"/>
    </row>
    <row r="35" spans="1:9" x14ac:dyDescent="0.2">
      <c r="A35" s="289" t="s">
        <v>187</v>
      </c>
      <c r="G35" s="291" t="s">
        <v>196</v>
      </c>
      <c r="I35" s="290"/>
    </row>
    <row r="36" spans="1:9" x14ac:dyDescent="0.2">
      <c r="A36" s="289" t="s">
        <v>189</v>
      </c>
      <c r="G36" s="289" t="s">
        <v>190</v>
      </c>
      <c r="I36" s="290"/>
    </row>
    <row r="37" spans="1:9" x14ac:dyDescent="0.2">
      <c r="A37" s="289"/>
      <c r="G37" s="289" t="s">
        <v>191</v>
      </c>
      <c r="I37" s="290"/>
    </row>
    <row r="38" spans="1:9" x14ac:dyDescent="0.2">
      <c r="A38" s="289"/>
      <c r="G38" s="291" t="s">
        <v>197</v>
      </c>
      <c r="I38" s="290"/>
    </row>
    <row r="39" spans="1:9" x14ac:dyDescent="0.2">
      <c r="A39" s="289"/>
      <c r="G39" s="301" t="s">
        <v>198</v>
      </c>
      <c r="H39" s="302"/>
      <c r="I39" s="303"/>
    </row>
    <row r="40" spans="1:9" x14ac:dyDescent="0.2">
      <c r="A40" s="289"/>
      <c r="I40" s="290"/>
    </row>
    <row r="41" spans="1:9" x14ac:dyDescent="0.2">
      <c r="A41" s="289"/>
      <c r="G41" s="286"/>
      <c r="H41" s="286"/>
      <c r="I41" s="304"/>
    </row>
    <row r="42" spans="1:9" x14ac:dyDescent="0.2">
      <c r="A42" s="1305" t="s">
        <v>192</v>
      </c>
      <c r="B42" s="1144"/>
      <c r="C42" s="1144"/>
      <c r="E42" s="97"/>
      <c r="I42" s="290"/>
    </row>
    <row r="43" spans="1:9" x14ac:dyDescent="0.2">
      <c r="A43" s="289" t="s">
        <v>193</v>
      </c>
      <c r="I43" s="290"/>
    </row>
    <row r="44" spans="1:9" x14ac:dyDescent="0.2">
      <c r="A44" s="289" t="s">
        <v>194</v>
      </c>
      <c r="I44" s="290"/>
    </row>
    <row r="45" spans="1:9" x14ac:dyDescent="0.2">
      <c r="A45" s="289" t="s">
        <v>195</v>
      </c>
      <c r="I45" s="290"/>
    </row>
    <row r="46" spans="1:9" x14ac:dyDescent="0.2">
      <c r="A46" s="289"/>
      <c r="D46" s="93"/>
      <c r="E46" s="93"/>
      <c r="F46" s="93"/>
      <c r="G46" s="93"/>
      <c r="I46" s="290"/>
    </row>
    <row r="47" spans="1:9" ht="15" x14ac:dyDescent="0.25">
      <c r="A47" s="305"/>
      <c r="D47" s="93"/>
      <c r="E47" s="93"/>
      <c r="F47" s="93"/>
      <c r="G47" s="93"/>
      <c r="I47" s="290"/>
    </row>
    <row r="48" spans="1:9" ht="23.25" hidden="1" customHeight="1" x14ac:dyDescent="0.75">
      <c r="A48" s="289"/>
      <c r="D48" s="93"/>
      <c r="E48" s="93"/>
      <c r="F48" s="93"/>
      <c r="G48" s="93"/>
      <c r="I48" s="306"/>
    </row>
    <row r="49" spans="1:9" ht="15" customHeight="1" x14ac:dyDescent="0.2">
      <c r="A49" s="296"/>
      <c r="B49" s="286"/>
      <c r="C49" s="286"/>
      <c r="D49" s="94"/>
      <c r="E49" s="95"/>
      <c r="F49" s="93"/>
      <c r="G49" s="96"/>
      <c r="I49" s="290"/>
    </row>
    <row r="50" spans="1:9" ht="15" customHeight="1" x14ac:dyDescent="0.2">
      <c r="A50" s="289"/>
      <c r="D50" s="93"/>
      <c r="E50" s="93"/>
      <c r="F50" s="93"/>
      <c r="G50" s="93"/>
      <c r="I50" s="290"/>
    </row>
    <row r="51" spans="1:9" ht="15" customHeight="1" x14ac:dyDescent="0.2">
      <c r="A51" s="289"/>
      <c r="I51" s="290"/>
    </row>
    <row r="52" spans="1:9" x14ac:dyDescent="0.2">
      <c r="A52" s="307"/>
      <c r="B52" s="302"/>
      <c r="C52" s="302"/>
      <c r="D52" s="302"/>
      <c r="E52" s="302"/>
      <c r="F52" s="302"/>
      <c r="G52" s="302"/>
      <c r="H52" s="302"/>
      <c r="I52" s="303"/>
    </row>
  </sheetData>
  <sheetProtection algorithmName="SHA-512" hashValue="zDo/uM9y17sQ8qZ9TxNOyg46UVUORv31yT0/piSBdaCLNdg9bRxlxw8Zt7VBWLuozHr1U1aEi9cMuYtECH9E2w==" saltValue="IkM0p07PQx5QSzD3/gmZgw==" spinCount="100000" sheet="1" selectLockedCells="1"/>
  <customSheetViews>
    <customSheetView guid="{9119B1A0-FD79-4FE4-B78E-10E0AEB8080B}" fitToPage="1" hiddenRows="1" hiddenColumns="1" state="hidden">
      <pane ySplit="4" topLeftCell="A5" activePane="bottomLeft" state="frozen"/>
      <selection pane="bottomLeft" activeCell="K49" sqref="K49"/>
      <pageMargins left="0.70866141732283472" right="0.70866141732283472" top="0.78740157480314965" bottom="0.78740157480314965" header="0.31496062992125984" footer="0.31496062992125984"/>
      <pageSetup paperSize="9" orientation="portrait"/>
      <headerFooter>
        <oddHeader>&amp;C&amp;9&amp;A</oddHeader>
        <oddFooter>&amp;L&amp;8Version: 13.11.2019&amp;C&amp;8Verhandlungsunterlagen SGB XI (vereinfacht)</oddFooter>
      </headerFooter>
    </customSheetView>
  </customSheetViews>
  <mergeCells count="2">
    <mergeCell ref="A1:I4"/>
    <mergeCell ref="A42:C42"/>
  </mergeCells>
  <hyperlinks>
    <hyperlink ref="J21" r:id="rId1" xr:uid="{00000000-0004-0000-0B00-000000000000}"/>
    <hyperlink ref="G21" r:id="rId2" xr:uid="{00000000-0004-0000-0B00-000001000000}"/>
  </hyperlinks>
  <pageMargins left="0.70866141732283472" right="0.70866141732283472" top="0.78740157480314965" bottom="0.78740157480314965" header="0.31496062992125984" footer="0.31496062992125984"/>
  <pageSetup paperSize="9" orientation="portrait"/>
  <headerFooter>
    <oddHeader>&amp;C&amp;9&amp;A</oddHeader>
    <oddFooter>&amp;L&amp;8Version: 13.11.2019&amp;C&amp;8Verhandlungsunterlagen SGB XI (vereinfacht)_x000D_&amp;1#&amp;"Calibri"&amp;10&amp;K000000 öffentlich</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0000"/>
    <pageSetUpPr fitToPage="1"/>
  </sheetPr>
  <dimension ref="A1:U76"/>
  <sheetViews>
    <sheetView showGridLines="0" zoomScaleNormal="100" workbookViewId="0">
      <selection activeCell="L4" sqref="L4:M4"/>
    </sheetView>
  </sheetViews>
  <sheetFormatPr baseColWidth="10" defaultColWidth="11" defaultRowHeight="14.25" x14ac:dyDescent="0.2"/>
  <cols>
    <col min="1" max="1" width="4.625" style="3" customWidth="1"/>
    <col min="2" max="2" width="2.375" style="3" customWidth="1"/>
    <col min="3" max="3" width="14.25" style="3" customWidth="1"/>
    <col min="4" max="4" width="10.625" style="3" customWidth="1"/>
    <col min="5" max="7" width="3.125" style="3" customWidth="1"/>
    <col min="8" max="8" width="11" style="3"/>
    <col min="9" max="10" width="2.375" style="3" customWidth="1"/>
    <col min="11" max="11" width="12.625" style="3" customWidth="1"/>
    <col min="12" max="12" width="7.625" style="3" customWidth="1"/>
    <col min="13" max="13" width="10.75" style="3" customWidth="1"/>
    <col min="14" max="14" width="4.625" style="3" customWidth="1"/>
    <col min="15" max="15" width="46.25" customWidth="1"/>
    <col min="16" max="20" width="11" style="3" customWidth="1"/>
    <col min="21" max="27" width="11" customWidth="1"/>
  </cols>
  <sheetData>
    <row r="1" spans="1:20" ht="45" customHeight="1" x14ac:dyDescent="0.25">
      <c r="A1" s="1128" t="s">
        <v>718</v>
      </c>
      <c r="B1" s="1129"/>
      <c r="C1" s="1129"/>
      <c r="D1" s="1129"/>
      <c r="E1" s="1129"/>
      <c r="F1" s="1129"/>
      <c r="G1" s="1129"/>
      <c r="H1" s="1129"/>
      <c r="I1" s="1129"/>
      <c r="J1" s="1129"/>
      <c r="K1" s="1129"/>
      <c r="L1" s="1129"/>
      <c r="M1" s="1129"/>
      <c r="N1" s="1130"/>
      <c r="O1" s="595"/>
      <c r="P1"/>
      <c r="Q1" s="170"/>
      <c r="R1" s="596"/>
      <c r="S1" s="597"/>
      <c r="T1"/>
    </row>
    <row r="2" spans="1:20" ht="15" customHeight="1" x14ac:dyDescent="0.25">
      <c r="A2" s="1131" t="s">
        <v>0</v>
      </c>
      <c r="B2" s="1132"/>
      <c r="C2" s="1132"/>
      <c r="D2" s="1132"/>
      <c r="E2" s="1132"/>
      <c r="F2" s="1132"/>
      <c r="G2" s="1132"/>
      <c r="H2" s="1132"/>
      <c r="I2" s="1132"/>
      <c r="J2" s="1132"/>
      <c r="K2" s="1132"/>
      <c r="L2" s="1132"/>
      <c r="M2" s="1132"/>
      <c r="N2" s="1133"/>
      <c r="O2" s="598"/>
      <c r="P2"/>
      <c r="Q2"/>
      <c r="R2"/>
      <c r="S2"/>
      <c r="T2"/>
    </row>
    <row r="3" spans="1:20" ht="15" x14ac:dyDescent="0.25">
      <c r="A3" s="1131" t="str">
        <f>IF(D12&gt;0,CONCATENATE(D12,", ",D16),"")</f>
        <v/>
      </c>
      <c r="B3" s="1132"/>
      <c r="C3" s="1132"/>
      <c r="D3" s="1132"/>
      <c r="E3" s="1132"/>
      <c r="F3" s="1132"/>
      <c r="G3" s="1132"/>
      <c r="H3" s="1132"/>
      <c r="I3" s="1132"/>
      <c r="J3" s="1132"/>
      <c r="K3" s="1132"/>
      <c r="L3" s="1132"/>
      <c r="M3" s="1132"/>
      <c r="N3" s="1133"/>
      <c r="O3" s="37"/>
      <c r="P3"/>
      <c r="Q3"/>
      <c r="R3"/>
      <c r="S3"/>
      <c r="T3"/>
    </row>
    <row r="4" spans="1:20" x14ac:dyDescent="0.2">
      <c r="A4" s="173" t="str">
        <f>IF(L6&gt;0,CONCATENATE("IK"," ",L6),"")</f>
        <v/>
      </c>
      <c r="B4" s="164"/>
      <c r="C4" s="164"/>
      <c r="D4" s="164"/>
      <c r="E4" s="164"/>
      <c r="F4" s="164"/>
      <c r="G4" s="164"/>
      <c r="H4" s="164"/>
      <c r="I4" s="164"/>
      <c r="J4" s="164"/>
      <c r="K4" s="387" t="s">
        <v>344</v>
      </c>
      <c r="L4" s="1139"/>
      <c r="M4" s="1140"/>
      <c r="N4" s="165"/>
      <c r="O4" s="50"/>
      <c r="P4"/>
      <c r="Q4"/>
      <c r="R4"/>
      <c r="S4"/>
      <c r="T4"/>
    </row>
    <row r="5" spans="1:20" ht="12.75" customHeight="1" thickBot="1" x14ac:dyDescent="0.25">
      <c r="A5" s="1137">
        <v>45617</v>
      </c>
      <c r="B5" s="1138"/>
      <c r="C5" s="72"/>
      <c r="N5" s="4"/>
      <c r="P5"/>
      <c r="Q5"/>
      <c r="R5"/>
      <c r="S5"/>
      <c r="T5"/>
    </row>
    <row r="6" spans="1:20" ht="15" thickBot="1" x14ac:dyDescent="0.25">
      <c r="A6" s="2" t="s">
        <v>345</v>
      </c>
      <c r="B6" s="5" t="s">
        <v>1</v>
      </c>
      <c r="D6" s="1134"/>
      <c r="E6" s="1135"/>
      <c r="F6" s="1135"/>
      <c r="G6" s="1136"/>
      <c r="I6" s="5"/>
      <c r="J6" s="5"/>
      <c r="K6" s="6" t="s">
        <v>405</v>
      </c>
      <c r="L6" s="1126"/>
      <c r="M6" s="1127"/>
      <c r="N6" s="4"/>
      <c r="O6" s="161"/>
      <c r="P6"/>
      <c r="Q6"/>
      <c r="R6"/>
      <c r="S6"/>
      <c r="T6"/>
    </row>
    <row r="7" spans="1:20" ht="12.75" customHeight="1" x14ac:dyDescent="0.2">
      <c r="A7" s="2"/>
      <c r="B7" s="7"/>
      <c r="C7" s="8"/>
      <c r="D7" s="411" t="str">
        <f>IF(D6&gt;0,IF(D6="teilstationäre Pflege","tst",IF(D6="Kurzzeitpflege","kzp","vst")),"")</f>
        <v/>
      </c>
      <c r="E7" s="966" t="b">
        <f>IF(D6&gt;0,IF(D6="Wohnpflegeheim","WPH",""))</f>
        <v>0</v>
      </c>
      <c r="F7" s="411" t="str">
        <f>IF(D6="4. Generation","4.","")</f>
        <v/>
      </c>
      <c r="K7" s="6" t="s">
        <v>404</v>
      </c>
      <c r="L7" s="1126"/>
      <c r="M7" s="1127"/>
      <c r="N7" s="4"/>
      <c r="O7" s="599"/>
      <c r="P7"/>
      <c r="Q7"/>
      <c r="R7"/>
      <c r="S7"/>
      <c r="T7"/>
    </row>
    <row r="8" spans="1:20" ht="12.75" customHeight="1" x14ac:dyDescent="0.2">
      <c r="A8" s="2"/>
      <c r="B8" s="7"/>
      <c r="C8" s="8"/>
      <c r="D8" s="94" t="s">
        <v>513</v>
      </c>
      <c r="E8" s="94"/>
      <c r="F8" s="94"/>
      <c r="H8" s="1112"/>
      <c r="I8" s="1112"/>
      <c r="J8" s="1112"/>
      <c r="K8" s="1112"/>
      <c r="L8" s="932"/>
      <c r="M8" s="932"/>
      <c r="N8" s="4"/>
      <c r="O8" s="599"/>
      <c r="P8"/>
      <c r="Q8"/>
      <c r="R8"/>
      <c r="S8"/>
      <c r="T8"/>
    </row>
    <row r="9" spans="1:20" ht="12.75" customHeight="1" x14ac:dyDescent="0.2">
      <c r="A9" s="2"/>
      <c r="B9" s="7"/>
      <c r="C9" s="8"/>
      <c r="D9" s="10"/>
      <c r="J9" s="891" t="str">
        <f>IF(AND(D7="kzp",H8=""),"Bitte Form der Kurzzeitpflege angeben.","")</f>
        <v/>
      </c>
      <c r="N9" s="4"/>
      <c r="P9"/>
      <c r="Q9"/>
      <c r="R9"/>
      <c r="S9"/>
      <c r="T9"/>
    </row>
    <row r="10" spans="1:20" x14ac:dyDescent="0.2">
      <c r="A10" s="2"/>
      <c r="B10" s="39" t="s">
        <v>3</v>
      </c>
      <c r="C10" s="38"/>
      <c r="D10" s="38"/>
      <c r="E10" s="38"/>
      <c r="F10" s="38"/>
      <c r="G10" s="38"/>
      <c r="H10" s="38"/>
      <c r="I10" s="38"/>
      <c r="J10" s="38"/>
      <c r="K10" s="38"/>
      <c r="L10" s="38"/>
      <c r="M10" s="38"/>
      <c r="N10" s="4"/>
      <c r="O10" s="600"/>
      <c r="P10"/>
      <c r="Q10"/>
      <c r="R10"/>
      <c r="S10"/>
      <c r="T10"/>
    </row>
    <row r="11" spans="1:20" ht="12.75" customHeight="1" x14ac:dyDescent="0.2">
      <c r="A11" s="2"/>
      <c r="D11" s="891" t="str">
        <f>IF(AND(D6=0,D12&lt;&gt;0),"Bitte wählen Sie noch die Art der Einrichtung aus.","")</f>
        <v/>
      </c>
      <c r="N11" s="4"/>
      <c r="O11" s="601"/>
      <c r="P11"/>
      <c r="Q11"/>
      <c r="R11"/>
      <c r="S11"/>
      <c r="T11"/>
    </row>
    <row r="12" spans="1:20" x14ac:dyDescent="0.2">
      <c r="A12" s="2"/>
      <c r="B12" s="11" t="s">
        <v>134</v>
      </c>
      <c r="D12" s="1118"/>
      <c r="E12" s="1115"/>
      <c r="F12" s="1115"/>
      <c r="G12" s="1115"/>
      <c r="H12" s="1115"/>
      <c r="I12" s="1115"/>
      <c r="J12" s="1115"/>
      <c r="K12" s="1115"/>
      <c r="L12" s="1115"/>
      <c r="M12" s="1115"/>
      <c r="N12" s="12"/>
      <c r="O12" s="602"/>
      <c r="P12"/>
      <c r="Q12"/>
      <c r="R12"/>
      <c r="S12"/>
      <c r="T12"/>
    </row>
    <row r="13" spans="1:20" x14ac:dyDescent="0.2">
      <c r="A13" s="2"/>
      <c r="D13" s="13" t="s">
        <v>4</v>
      </c>
      <c r="E13" s="13"/>
      <c r="J13" s="13"/>
      <c r="K13" s="13"/>
      <c r="L13" s="13"/>
      <c r="M13" s="13"/>
      <c r="N13" s="14"/>
      <c r="P13"/>
      <c r="Q13"/>
      <c r="R13"/>
      <c r="S13"/>
      <c r="T13"/>
    </row>
    <row r="14" spans="1:20" x14ac:dyDescent="0.2">
      <c r="A14" s="2"/>
      <c r="D14" s="1118"/>
      <c r="E14" s="1115"/>
      <c r="F14" s="1115"/>
      <c r="G14" s="1115"/>
      <c r="H14" s="1115"/>
      <c r="I14" s="1115"/>
      <c r="J14" s="1115"/>
      <c r="K14" s="1115"/>
      <c r="L14" s="1115"/>
      <c r="M14" s="1115"/>
      <c r="N14" s="4"/>
      <c r="P14"/>
      <c r="Q14"/>
      <c r="R14"/>
      <c r="S14"/>
      <c r="T14"/>
    </row>
    <row r="15" spans="1:20" x14ac:dyDescent="0.2">
      <c r="A15" s="2"/>
      <c r="D15" s="13" t="s">
        <v>5</v>
      </c>
      <c r="E15" s="13"/>
      <c r="N15" s="4"/>
      <c r="O15" s="603"/>
      <c r="P15"/>
      <c r="Q15"/>
      <c r="R15"/>
      <c r="S15"/>
      <c r="T15"/>
    </row>
    <row r="16" spans="1:20" x14ac:dyDescent="0.2">
      <c r="A16" s="2"/>
      <c r="D16" s="1116"/>
      <c r="E16" s="1117"/>
      <c r="F16" s="1117"/>
      <c r="G16" s="1117"/>
      <c r="H16" s="1117"/>
      <c r="I16" s="1117"/>
      <c r="J16" s="1117"/>
      <c r="K16" s="1117"/>
      <c r="L16" s="1117"/>
      <c r="M16" s="1117"/>
      <c r="N16" s="4"/>
      <c r="O16" s="604"/>
      <c r="P16"/>
      <c r="Q16"/>
      <c r="R16"/>
      <c r="S16"/>
      <c r="T16"/>
    </row>
    <row r="17" spans="1:20" x14ac:dyDescent="0.2">
      <c r="A17" s="2"/>
      <c r="D17" s="13" t="s">
        <v>6</v>
      </c>
      <c r="E17" s="13"/>
      <c r="N17" s="4"/>
      <c r="P17"/>
      <c r="Q17"/>
      <c r="R17"/>
      <c r="S17"/>
      <c r="T17"/>
    </row>
    <row r="18" spans="1:20" x14ac:dyDescent="0.2">
      <c r="A18" s="2"/>
      <c r="D18" s="1113"/>
      <c r="E18" s="1114"/>
      <c r="F18" s="1114"/>
      <c r="G18" s="1114"/>
      <c r="H18" s="1115"/>
      <c r="J18" s="1116"/>
      <c r="K18" s="1117"/>
      <c r="L18" s="1117"/>
      <c r="M18" s="1117"/>
      <c r="N18" s="4"/>
      <c r="O18" s="605"/>
      <c r="P18"/>
      <c r="Q18"/>
      <c r="R18"/>
      <c r="S18"/>
      <c r="T18"/>
    </row>
    <row r="19" spans="1:20" x14ac:dyDescent="0.2">
      <c r="A19" s="2"/>
      <c r="D19" s="13" t="s">
        <v>7</v>
      </c>
      <c r="E19" s="13"/>
      <c r="J19" s="13" t="s">
        <v>8</v>
      </c>
      <c r="K19" s="13"/>
      <c r="L19" s="13"/>
      <c r="N19" s="4"/>
      <c r="P19"/>
      <c r="Q19"/>
      <c r="R19"/>
      <c r="S19"/>
      <c r="T19"/>
    </row>
    <row r="20" spans="1:20" x14ac:dyDescent="0.2">
      <c r="A20" s="2"/>
      <c r="D20" s="1119"/>
      <c r="E20" s="1114"/>
      <c r="F20" s="1114"/>
      <c r="G20" s="1114"/>
      <c r="H20" s="1115"/>
      <c r="J20" s="1120"/>
      <c r="K20" s="1117"/>
      <c r="L20" s="1117"/>
      <c r="M20" s="1117"/>
      <c r="N20" s="4"/>
      <c r="P20"/>
      <c r="Q20"/>
      <c r="R20" s="123"/>
      <c r="S20"/>
      <c r="T20"/>
    </row>
    <row r="21" spans="1:20" x14ac:dyDescent="0.2">
      <c r="A21" s="2"/>
      <c r="D21" s="13" t="s">
        <v>9</v>
      </c>
      <c r="E21" s="13"/>
      <c r="J21" s="15" t="s">
        <v>136</v>
      </c>
      <c r="N21" s="4"/>
      <c r="P21"/>
      <c r="Q21"/>
      <c r="R21"/>
      <c r="S21"/>
      <c r="T21"/>
    </row>
    <row r="22" spans="1:20" ht="14.25" customHeight="1" x14ac:dyDescent="0.2">
      <c r="A22" s="2"/>
      <c r="D22" s="1113"/>
      <c r="E22" s="1114"/>
      <c r="F22" s="1114"/>
      <c r="G22" s="1114"/>
      <c r="H22" s="1115"/>
      <c r="J22" s="1116"/>
      <c r="K22" s="1117"/>
      <c r="L22" s="1117"/>
      <c r="M22" s="1117"/>
      <c r="N22" s="4"/>
      <c r="P22"/>
      <c r="Q22"/>
      <c r="R22"/>
      <c r="S22"/>
      <c r="T22"/>
    </row>
    <row r="23" spans="1:20" x14ac:dyDescent="0.2">
      <c r="A23" s="2"/>
      <c r="D23" s="13" t="s">
        <v>135</v>
      </c>
      <c r="E23" s="13"/>
      <c r="J23" s="13" t="s">
        <v>10</v>
      </c>
      <c r="K23" s="13"/>
      <c r="L23" s="13"/>
      <c r="N23" s="4"/>
      <c r="P23"/>
      <c r="Q23"/>
      <c r="R23"/>
      <c r="S23"/>
      <c r="T23"/>
    </row>
    <row r="24" spans="1:20" ht="3.95" customHeight="1" x14ac:dyDescent="0.2">
      <c r="A24" s="2"/>
      <c r="D24" s="13"/>
      <c r="E24" s="13"/>
      <c r="J24" s="15"/>
      <c r="N24" s="4"/>
      <c r="P24"/>
      <c r="Q24"/>
      <c r="R24"/>
      <c r="S24"/>
      <c r="T24"/>
    </row>
    <row r="25" spans="1:20" ht="5.85" customHeight="1" x14ac:dyDescent="0.2">
      <c r="A25" s="2"/>
      <c r="D25" s="13"/>
      <c r="E25" s="13"/>
      <c r="N25" s="4"/>
      <c r="P25"/>
      <c r="Q25"/>
      <c r="R25"/>
      <c r="S25"/>
      <c r="T25"/>
    </row>
    <row r="26" spans="1:20" x14ac:dyDescent="0.2">
      <c r="A26" s="2"/>
      <c r="B26" s="11" t="s">
        <v>11</v>
      </c>
      <c r="D26" s="1118"/>
      <c r="E26" s="1118"/>
      <c r="F26" s="1118"/>
      <c r="G26" s="1118"/>
      <c r="H26" s="1118"/>
      <c r="I26" s="1118"/>
      <c r="J26" s="1118"/>
      <c r="K26" s="1118"/>
      <c r="L26" s="1118"/>
      <c r="M26" s="1118"/>
      <c r="N26" s="4"/>
      <c r="P26"/>
      <c r="Q26"/>
      <c r="R26"/>
      <c r="S26"/>
      <c r="T26"/>
    </row>
    <row r="27" spans="1:20" x14ac:dyDescent="0.2">
      <c r="A27" s="2"/>
      <c r="D27" s="13" t="s">
        <v>12</v>
      </c>
      <c r="E27" s="13"/>
      <c r="N27" s="4"/>
      <c r="P27"/>
      <c r="Q27"/>
      <c r="R27"/>
      <c r="S27"/>
      <c r="T27"/>
    </row>
    <row r="28" spans="1:20" x14ac:dyDescent="0.2">
      <c r="A28" s="2"/>
      <c r="D28" s="1118"/>
      <c r="E28" s="1115"/>
      <c r="F28" s="1115"/>
      <c r="G28" s="1115"/>
      <c r="H28" s="1115"/>
      <c r="I28" s="1115"/>
      <c r="J28" s="1115"/>
      <c r="K28" s="1115"/>
      <c r="L28" s="1115"/>
      <c r="M28" s="1115"/>
      <c r="N28" s="4"/>
      <c r="P28"/>
      <c r="Q28"/>
      <c r="R28"/>
      <c r="S28"/>
      <c r="T28"/>
    </row>
    <row r="29" spans="1:20" ht="14.25" customHeight="1" x14ac:dyDescent="0.2">
      <c r="A29" s="2"/>
      <c r="D29" s="13" t="s">
        <v>5</v>
      </c>
      <c r="E29" s="13"/>
      <c r="N29" s="4"/>
      <c r="P29"/>
      <c r="Q29"/>
      <c r="R29"/>
      <c r="S29"/>
      <c r="T29"/>
    </row>
    <row r="30" spans="1:20" x14ac:dyDescent="0.2">
      <c r="A30" s="2"/>
      <c r="D30" s="1116"/>
      <c r="E30" s="1117"/>
      <c r="F30" s="1117"/>
      <c r="G30" s="1117"/>
      <c r="H30" s="1117"/>
      <c r="I30" s="1117"/>
      <c r="J30" s="1117"/>
      <c r="K30" s="1117"/>
      <c r="L30" s="1117"/>
      <c r="M30" s="1117"/>
      <c r="N30" s="4"/>
      <c r="P30"/>
      <c r="Q30"/>
      <c r="R30"/>
      <c r="S30"/>
      <c r="T30"/>
    </row>
    <row r="31" spans="1:20" x14ac:dyDescent="0.2">
      <c r="A31" s="2"/>
      <c r="D31" s="13" t="s">
        <v>6</v>
      </c>
      <c r="E31" s="13"/>
      <c r="N31" s="4"/>
      <c r="P31"/>
      <c r="Q31"/>
      <c r="R31"/>
      <c r="S31"/>
      <c r="T31"/>
    </row>
    <row r="32" spans="1:20" x14ac:dyDescent="0.2">
      <c r="A32" s="2"/>
      <c r="D32" s="1113"/>
      <c r="E32" s="1114"/>
      <c r="F32" s="1114"/>
      <c r="G32" s="1114"/>
      <c r="H32" s="1115"/>
      <c r="J32" s="1116"/>
      <c r="K32" s="1117"/>
      <c r="L32" s="1117"/>
      <c r="M32" s="1117"/>
      <c r="N32" s="4"/>
      <c r="P32"/>
      <c r="Q32"/>
      <c r="R32"/>
      <c r="S32"/>
      <c r="T32"/>
    </row>
    <row r="33" spans="1:20" x14ac:dyDescent="0.2">
      <c r="A33" s="2"/>
      <c r="D33" s="13" t="s">
        <v>7</v>
      </c>
      <c r="E33" s="13"/>
      <c r="J33" s="13" t="s">
        <v>8</v>
      </c>
      <c r="K33" s="13"/>
      <c r="L33" s="13"/>
      <c r="M33" s="13"/>
      <c r="N33" s="14"/>
      <c r="P33"/>
      <c r="Q33"/>
      <c r="R33"/>
      <c r="S33"/>
      <c r="T33"/>
    </row>
    <row r="34" spans="1:20" x14ac:dyDescent="0.2">
      <c r="A34" s="2"/>
      <c r="D34" s="1119"/>
      <c r="E34" s="1114"/>
      <c r="F34" s="1114"/>
      <c r="G34" s="1114"/>
      <c r="H34" s="1115"/>
      <c r="J34" s="1120"/>
      <c r="K34" s="1117"/>
      <c r="L34" s="1117"/>
      <c r="M34" s="1117"/>
      <c r="N34" s="4"/>
    </row>
    <row r="35" spans="1:20" x14ac:dyDescent="0.2">
      <c r="A35" s="2"/>
      <c r="D35" s="13" t="s">
        <v>9</v>
      </c>
      <c r="E35" s="13"/>
      <c r="J35" s="15" t="s">
        <v>136</v>
      </c>
      <c r="N35" s="4"/>
    </row>
    <row r="36" spans="1:20" x14ac:dyDescent="0.2">
      <c r="A36" s="2"/>
      <c r="D36" s="1118"/>
      <c r="E36" s="1115"/>
      <c r="F36" s="1115"/>
      <c r="G36" s="1115"/>
      <c r="H36" s="1115"/>
      <c r="I36" s="1115"/>
      <c r="J36" s="1115"/>
      <c r="K36" s="1115"/>
      <c r="L36" s="1115"/>
      <c r="M36" s="1115"/>
      <c r="N36" s="4"/>
      <c r="O36" s="603"/>
    </row>
    <row r="37" spans="1:20" x14ac:dyDescent="0.2">
      <c r="A37" s="2"/>
      <c r="D37" s="13" t="s">
        <v>245</v>
      </c>
      <c r="E37" s="13"/>
      <c r="J37" s="15"/>
      <c r="N37" s="4"/>
    </row>
    <row r="38" spans="1:20" ht="5.25" customHeight="1" x14ac:dyDescent="0.2">
      <c r="A38" s="2"/>
      <c r="D38" s="13"/>
      <c r="E38" s="13"/>
      <c r="N38" s="4"/>
    </row>
    <row r="39" spans="1:20" x14ac:dyDescent="0.2">
      <c r="A39" s="2"/>
      <c r="B39" s="39" t="s">
        <v>13</v>
      </c>
      <c r="C39" s="38"/>
      <c r="D39" s="67"/>
      <c r="E39" s="67"/>
      <c r="F39" s="38"/>
      <c r="G39" s="38"/>
      <c r="H39" s="38"/>
      <c r="I39" s="38"/>
      <c r="J39" s="38"/>
      <c r="K39" s="38"/>
      <c r="L39" s="38"/>
      <c r="M39" s="38"/>
      <c r="N39" s="4"/>
    </row>
    <row r="40" spans="1:20" ht="6" customHeight="1" x14ac:dyDescent="0.2">
      <c r="A40" s="2"/>
      <c r="D40" s="13"/>
      <c r="E40" s="13"/>
      <c r="N40" s="4"/>
    </row>
    <row r="41" spans="1:20" x14ac:dyDescent="0.2">
      <c r="A41" s="2"/>
      <c r="C41" s="421"/>
      <c r="E41" s="11"/>
      <c r="G41" s="17" t="s">
        <v>14</v>
      </c>
      <c r="H41" s="1121"/>
      <c r="I41" s="1115"/>
      <c r="J41" s="1115"/>
      <c r="K41" s="1115"/>
      <c r="L41" s="1115"/>
      <c r="M41" s="1115"/>
      <c r="N41" s="4"/>
    </row>
    <row r="42" spans="1:20" ht="6" customHeight="1" x14ac:dyDescent="0.2">
      <c r="A42" s="2"/>
      <c r="D42" s="13"/>
      <c r="E42" s="13"/>
      <c r="N42" s="4"/>
    </row>
    <row r="43" spans="1:20" s="3" customFormat="1" ht="12.75" customHeight="1" x14ac:dyDescent="0.2">
      <c r="A43" s="2"/>
      <c r="B43" s="11" t="s">
        <v>15</v>
      </c>
      <c r="D43" s="13"/>
      <c r="E43" s="13"/>
      <c r="I43" s="317"/>
      <c r="N43" s="4"/>
      <c r="O43" s="606"/>
    </row>
    <row r="44" spans="1:20" ht="6.95" customHeight="1" thickBot="1" x14ac:dyDescent="0.25">
      <c r="A44" s="2"/>
      <c r="D44" s="13"/>
      <c r="E44" s="13"/>
      <c r="N44" s="4"/>
      <c r="O44" s="606"/>
    </row>
    <row r="45" spans="1:20" ht="15" thickBot="1" x14ac:dyDescent="0.25">
      <c r="A45" s="2"/>
      <c r="B45" s="16" t="s">
        <v>16</v>
      </c>
      <c r="L45" s="422"/>
      <c r="N45" s="4"/>
    </row>
    <row r="46" spans="1:20" ht="12.75" customHeight="1" thickBot="1" x14ac:dyDescent="0.25">
      <c r="A46" s="2"/>
      <c r="B46" s="16" t="s">
        <v>597</v>
      </c>
      <c r="L46" s="422"/>
      <c r="N46" s="4"/>
      <c r="O46" s="161"/>
      <c r="P46" s="600"/>
      <c r="Q46" s="607"/>
    </row>
    <row r="47" spans="1:20" ht="12.75" customHeight="1" x14ac:dyDescent="0.2">
      <c r="A47" s="2"/>
      <c r="B47" s="16"/>
      <c r="H47" s="892" t="str">
        <f>IF(AND(L46&gt;0,D7&lt;&gt;"vst"),"Erfassung nur bei vst. Einrichtungen möglich.","")</f>
        <v/>
      </c>
      <c r="L47" s="222"/>
      <c r="N47" s="4"/>
      <c r="O47" s="161"/>
      <c r="P47" s="600"/>
      <c r="Q47" s="607"/>
    </row>
    <row r="48" spans="1:20" ht="12.75" customHeight="1" x14ac:dyDescent="0.2">
      <c r="A48" s="318"/>
      <c r="B48" s="319" t="s">
        <v>17</v>
      </c>
      <c r="C48" s="18"/>
      <c r="D48" s="18"/>
      <c r="E48" s="320"/>
      <c r="F48" s="321"/>
      <c r="G48" s="321"/>
      <c r="H48" s="424"/>
      <c r="L48" s="17" t="s">
        <v>18</v>
      </c>
      <c r="M48" s="425"/>
      <c r="N48" s="19"/>
      <c r="O48" s="161"/>
      <c r="P48" s="600"/>
      <c r="Q48" s="608"/>
      <c r="R48" s="609"/>
    </row>
    <row r="49" spans="1:21" ht="6.95" customHeight="1" thickBot="1" x14ac:dyDescent="0.25">
      <c r="A49" s="2"/>
      <c r="B49" s="16"/>
      <c r="N49" s="4"/>
      <c r="O49" s="161"/>
    </row>
    <row r="50" spans="1:21" s="323" customFormat="1" ht="13.5" thickBot="1" x14ac:dyDescent="0.25">
      <c r="A50" s="322"/>
      <c r="B50" s="319" t="s">
        <v>398</v>
      </c>
      <c r="E50" s="324"/>
      <c r="F50" s="1122" t="s">
        <v>19</v>
      </c>
      <c r="G50" s="1122"/>
      <c r="H50" s="424"/>
      <c r="I50" s="325"/>
      <c r="J50" s="326" t="s">
        <v>20</v>
      </c>
      <c r="K50" s="405">
        <f>K52</f>
        <v>0</v>
      </c>
      <c r="N50" s="327"/>
      <c r="P50" s="11"/>
      <c r="Q50" s="11"/>
      <c r="R50" s="11"/>
      <c r="S50" s="11"/>
      <c r="T50" s="11"/>
      <c r="U50" s="379"/>
    </row>
    <row r="51" spans="1:21" s="323" customFormat="1" ht="6.95" customHeight="1" x14ac:dyDescent="0.2">
      <c r="A51" s="322"/>
      <c r="B51" s="319"/>
      <c r="E51" s="324"/>
      <c r="F51" s="380"/>
      <c r="G51" s="380"/>
      <c r="H51" s="426"/>
      <c r="I51" s="381"/>
      <c r="J51" s="382"/>
      <c r="K51" s="427"/>
      <c r="N51" s="327"/>
      <c r="P51" s="11"/>
      <c r="Q51" s="11"/>
      <c r="R51" s="11"/>
      <c r="S51" s="11"/>
      <c r="T51" s="11"/>
      <c r="U51" s="379"/>
    </row>
    <row r="52" spans="1:21" s="323" customFormat="1" ht="12.75" x14ac:dyDescent="0.2">
      <c r="A52" s="322"/>
      <c r="B52" s="319" t="s">
        <v>395</v>
      </c>
      <c r="E52" s="324"/>
      <c r="F52" s="1122" t="s">
        <v>19</v>
      </c>
      <c r="G52" s="1122"/>
      <c r="H52" s="424"/>
      <c r="I52" s="325"/>
      <c r="J52" s="326" t="s">
        <v>20</v>
      </c>
      <c r="K52" s="424"/>
      <c r="M52" s="977">
        <f>IFERROR(DATEDIF(H52,K52,"m")+1,0)</f>
        <v>1</v>
      </c>
      <c r="N52" s="327"/>
      <c r="P52" s="11"/>
      <c r="Q52" s="11"/>
      <c r="R52" s="11"/>
      <c r="S52" s="11"/>
      <c r="T52" s="11"/>
      <c r="U52" s="379"/>
    </row>
    <row r="53" spans="1:21" ht="12.75" customHeight="1" x14ac:dyDescent="0.2">
      <c r="A53" s="2"/>
      <c r="B53" s="16"/>
      <c r="N53" s="4"/>
    </row>
    <row r="54" spans="1:21" ht="12.75" customHeight="1" x14ac:dyDescent="0.2">
      <c r="A54" s="20"/>
      <c r="B54" s="328" t="s">
        <v>161</v>
      </c>
      <c r="C54" s="329"/>
      <c r="D54" s="329"/>
      <c r="E54" s="329"/>
      <c r="F54" s="329"/>
      <c r="G54" s="329"/>
      <c r="H54" s="329"/>
      <c r="I54" s="329"/>
      <c r="J54" s="329"/>
      <c r="K54" s="329"/>
      <c r="L54" s="329"/>
      <c r="M54" s="329"/>
      <c r="N54" s="19"/>
    </row>
    <row r="55" spans="1:21" ht="6.75" customHeight="1" x14ac:dyDescent="0.2">
      <c r="A55" s="20"/>
      <c r="B55" s="319"/>
      <c r="C55"/>
      <c r="D55"/>
      <c r="E55"/>
      <c r="F55"/>
      <c r="G55"/>
      <c r="H55"/>
      <c r="I55"/>
      <c r="J55"/>
      <c r="K55"/>
      <c r="L55"/>
      <c r="M55"/>
      <c r="N55" s="19"/>
    </row>
    <row r="56" spans="1:21" ht="15" customHeight="1" x14ac:dyDescent="0.2">
      <c r="A56" s="20"/>
      <c r="B56"/>
      <c r="C56" s="175" t="s">
        <v>159</v>
      </c>
      <c r="D56" s="21"/>
      <c r="E56" s="330"/>
      <c r="F56" s="330"/>
      <c r="G56" s="73"/>
      <c r="H56" s="22"/>
      <c r="I56" s="331"/>
      <c r="J56" s="332"/>
      <c r="K56" s="167"/>
      <c r="L56" s="21"/>
      <c r="M56" s="167"/>
      <c r="N56" s="4"/>
      <c r="O56" s="610"/>
    </row>
    <row r="57" spans="1:21" s="323" customFormat="1" ht="14.25" customHeight="1" x14ac:dyDescent="0.2">
      <c r="A57" s="322"/>
      <c r="C57" s="333" t="s">
        <v>21</v>
      </c>
      <c r="D57" s="334"/>
      <c r="E57" s="334"/>
      <c r="F57" s="334"/>
      <c r="G57" s="334"/>
      <c r="H57" s="71" t="s">
        <v>162</v>
      </c>
      <c r="I57" s="334"/>
      <c r="J57" s="334"/>
      <c r="K57" s="474"/>
      <c r="M57" s="327"/>
      <c r="N57" s="327"/>
      <c r="P57" s="11"/>
      <c r="Q57" s="11"/>
      <c r="R57" s="11"/>
      <c r="S57" s="11"/>
      <c r="T57" s="11"/>
    </row>
    <row r="58" spans="1:21" s="323" customFormat="1" ht="14.25" customHeight="1" x14ac:dyDescent="0.2">
      <c r="A58" s="322"/>
      <c r="C58" s="333" t="s">
        <v>22</v>
      </c>
      <c r="D58" s="334"/>
      <c r="E58" s="334"/>
      <c r="F58" s="334"/>
      <c r="G58" s="334"/>
      <c r="H58" s="71" t="s">
        <v>162</v>
      </c>
      <c r="I58" s="334"/>
      <c r="J58" s="334"/>
      <c r="K58" s="475"/>
      <c r="L58" s="335"/>
      <c r="M58" s="336"/>
      <c r="N58" s="327"/>
      <c r="P58" s="11"/>
      <c r="Q58" s="11"/>
      <c r="R58" s="11"/>
      <c r="S58" s="11"/>
      <c r="T58" s="11"/>
    </row>
    <row r="59" spans="1:21" s="323" customFormat="1" ht="14.25" customHeight="1" x14ac:dyDescent="0.2">
      <c r="A59" s="322"/>
      <c r="C59" s="333" t="s">
        <v>23</v>
      </c>
      <c r="D59" s="334"/>
      <c r="E59" s="334"/>
      <c r="F59" s="334"/>
      <c r="G59" s="334"/>
      <c r="H59" s="71" t="s">
        <v>162</v>
      </c>
      <c r="I59" s="334"/>
      <c r="J59" s="334"/>
      <c r="K59" s="475"/>
      <c r="L59" s="335"/>
      <c r="M59" s="336"/>
      <c r="N59" s="327"/>
      <c r="P59" s="11"/>
      <c r="Q59" s="11"/>
      <c r="R59" s="11"/>
      <c r="S59" s="11"/>
      <c r="T59" s="11"/>
    </row>
    <row r="60" spans="1:21" s="323" customFormat="1" ht="14.25" customHeight="1" x14ac:dyDescent="0.2">
      <c r="A60" s="322"/>
      <c r="C60" s="333" t="s">
        <v>24</v>
      </c>
      <c r="D60" s="334"/>
      <c r="E60" s="334"/>
      <c r="F60" s="334"/>
      <c r="G60" s="334"/>
      <c r="H60" s="71" t="s">
        <v>162</v>
      </c>
      <c r="I60" s="334"/>
      <c r="J60" s="334"/>
      <c r="K60" s="474"/>
      <c r="L60" s="335"/>
      <c r="M60" s="336"/>
      <c r="N60" s="327"/>
      <c r="P60" s="11"/>
      <c r="Q60" s="11"/>
      <c r="R60" s="11"/>
      <c r="S60" s="11"/>
      <c r="T60" s="11"/>
    </row>
    <row r="61" spans="1:21" s="323" customFormat="1" ht="14.25" customHeight="1" x14ac:dyDescent="0.2">
      <c r="A61" s="322"/>
      <c r="C61" s="333" t="s">
        <v>25</v>
      </c>
      <c r="D61" s="334"/>
      <c r="E61" s="334"/>
      <c r="F61" s="334"/>
      <c r="G61" s="334"/>
      <c r="H61" s="71" t="s">
        <v>162</v>
      </c>
      <c r="I61" s="334"/>
      <c r="J61" s="334"/>
      <c r="K61" s="474"/>
      <c r="L61" s="335"/>
      <c r="M61" s="336"/>
      <c r="N61" s="327"/>
      <c r="P61" s="11"/>
      <c r="Q61" s="11"/>
      <c r="R61" s="11"/>
      <c r="S61" s="11"/>
      <c r="T61" s="11"/>
    </row>
    <row r="62" spans="1:21" s="323" customFormat="1" ht="14.25" customHeight="1" x14ac:dyDescent="0.2">
      <c r="A62" s="322"/>
      <c r="C62" s="333" t="s">
        <v>26</v>
      </c>
      <c r="D62" s="334"/>
      <c r="E62" s="334"/>
      <c r="F62" s="334"/>
      <c r="G62" s="334"/>
      <c r="H62" s="71" t="s">
        <v>162</v>
      </c>
      <c r="I62" s="334"/>
      <c r="J62" s="334"/>
      <c r="K62" s="474"/>
      <c r="L62" s="335"/>
      <c r="M62" s="336"/>
      <c r="N62" s="327"/>
      <c r="P62" s="11"/>
      <c r="Q62" s="11"/>
      <c r="R62" s="11"/>
      <c r="S62" s="11"/>
      <c r="T62" s="11"/>
    </row>
    <row r="63" spans="1:21" s="323" customFormat="1" ht="14.25" customHeight="1" x14ac:dyDescent="0.2">
      <c r="A63" s="322"/>
      <c r="C63" s="23" t="s">
        <v>27</v>
      </c>
      <c r="D63" s="24"/>
      <c r="E63" s="24"/>
      <c r="F63" s="24"/>
      <c r="G63" s="337"/>
      <c r="H63" s="28" t="s">
        <v>162</v>
      </c>
      <c r="I63" s="338"/>
      <c r="J63" s="338"/>
      <c r="K63" s="474"/>
      <c r="L63" s="335"/>
      <c r="M63" s="336"/>
      <c r="N63" s="327"/>
      <c r="P63" s="11"/>
      <c r="Q63" s="11"/>
      <c r="R63" s="11"/>
      <c r="S63" s="11"/>
      <c r="T63" s="11"/>
    </row>
    <row r="64" spans="1:21" s="323" customFormat="1" ht="7.5" customHeight="1" x14ac:dyDescent="0.2">
      <c r="A64" s="322"/>
      <c r="C64" s="25"/>
      <c r="D64" s="11"/>
      <c r="E64" s="11"/>
      <c r="F64" s="11"/>
      <c r="H64" s="11"/>
      <c r="I64" s="11"/>
      <c r="J64" s="11"/>
      <c r="K64" s="74"/>
      <c r="M64" s="327"/>
      <c r="N64" s="327"/>
      <c r="P64" s="11"/>
      <c r="Q64" s="11"/>
      <c r="R64" s="11"/>
      <c r="S64" s="11"/>
      <c r="T64" s="11"/>
    </row>
    <row r="65" spans="1:20" s="323" customFormat="1" ht="12.75" customHeight="1" x14ac:dyDescent="0.2">
      <c r="A65" s="322"/>
      <c r="C65" s="23"/>
      <c r="D65" s="24"/>
      <c r="E65" s="26"/>
      <c r="F65" s="26"/>
      <c r="G65" s="337"/>
      <c r="H65" s="27" t="s">
        <v>160</v>
      </c>
      <c r="I65" s="337"/>
      <c r="J65" s="28"/>
      <c r="K65" s="476"/>
      <c r="L65" s="339"/>
      <c r="M65" s="340"/>
      <c r="N65" s="327"/>
      <c r="O65" s="604"/>
      <c r="P65" s="11"/>
      <c r="Q65" s="11"/>
      <c r="R65" s="11"/>
      <c r="S65" s="11"/>
      <c r="T65" s="11"/>
    </row>
    <row r="66" spans="1:20" s="34" customFormat="1" ht="14.25" customHeight="1" x14ac:dyDescent="0.2">
      <c r="A66" s="31"/>
      <c r="B66" s="32"/>
      <c r="E66" s="32"/>
      <c r="F66" s="32"/>
      <c r="G66" s="32"/>
      <c r="H66" s="32"/>
      <c r="I66" s="32"/>
      <c r="J66" s="32"/>
      <c r="K66" s="32"/>
      <c r="L66" s="32"/>
      <c r="M66" s="65"/>
      <c r="N66" s="33"/>
      <c r="O66" s="611"/>
    </row>
    <row r="67" spans="1:20" s="34" customFormat="1" ht="14.25" customHeight="1" x14ac:dyDescent="0.2">
      <c r="A67" s="31"/>
      <c r="B67" s="68" t="s">
        <v>256</v>
      </c>
      <c r="C67" s="68"/>
      <c r="D67" s="68"/>
      <c r="E67" s="68"/>
      <c r="F67" s="68"/>
      <c r="G67" s="68"/>
      <c r="H67" s="68"/>
      <c r="I67" s="68"/>
      <c r="J67" s="68"/>
      <c r="K67" s="68"/>
      <c r="L67" s="68"/>
      <c r="M67" s="68"/>
      <c r="N67" s="33"/>
      <c r="O67" s="611"/>
    </row>
    <row r="68" spans="1:20" s="323" customFormat="1" ht="6.95" customHeight="1" x14ac:dyDescent="0.2">
      <c r="A68" s="322"/>
      <c r="C68" s="11"/>
      <c r="D68" s="11"/>
      <c r="E68" s="29"/>
      <c r="F68" s="29"/>
      <c r="G68" s="29"/>
      <c r="H68" s="29"/>
      <c r="I68" s="29"/>
      <c r="J68" s="29"/>
      <c r="K68" s="29"/>
      <c r="L68" s="29"/>
      <c r="M68" s="11"/>
      <c r="N68" s="30"/>
      <c r="P68" s="11"/>
      <c r="Q68" s="11"/>
      <c r="R68" s="11"/>
      <c r="S68" s="11"/>
      <c r="T68" s="11"/>
    </row>
    <row r="69" spans="1:20" s="34" customFormat="1" ht="14.25" customHeight="1" x14ac:dyDescent="0.2">
      <c r="A69" s="31"/>
      <c r="B69" s="617" t="s">
        <v>454</v>
      </c>
      <c r="E69" s="32"/>
      <c r="F69" s="32"/>
      <c r="G69" s="32"/>
      <c r="H69" s="32"/>
      <c r="I69" s="32"/>
      <c r="J69" s="32"/>
      <c r="K69" s="32"/>
      <c r="L69" s="423"/>
      <c r="M69" s="65"/>
      <c r="N69" s="33"/>
      <c r="O69" s="612"/>
    </row>
    <row r="70" spans="1:20" s="323" customFormat="1" ht="3" customHeight="1" x14ac:dyDescent="0.2">
      <c r="A70" s="322"/>
      <c r="C70" s="11"/>
      <c r="D70" s="11"/>
      <c r="E70" s="11"/>
      <c r="F70" s="11"/>
      <c r="G70" s="11"/>
      <c r="H70" s="11"/>
      <c r="I70" s="11"/>
      <c r="J70" s="11"/>
      <c r="K70" s="11"/>
      <c r="M70" s="66"/>
      <c r="N70" s="30"/>
      <c r="P70" s="11"/>
      <c r="Q70" s="11"/>
      <c r="R70" s="11"/>
      <c r="S70" s="11"/>
      <c r="T70" s="11"/>
    </row>
    <row r="71" spans="1:20" s="34" customFormat="1" ht="14.25" customHeight="1" x14ac:dyDescent="0.2">
      <c r="A71" s="31"/>
      <c r="B71" s="166" t="s">
        <v>514</v>
      </c>
      <c r="E71" s="32"/>
      <c r="F71" s="32"/>
      <c r="G71" s="32"/>
      <c r="H71" s="32"/>
      <c r="I71" s="32"/>
      <c r="J71" s="32"/>
      <c r="K71" s="32"/>
      <c r="L71" s="423"/>
      <c r="M71" s="65"/>
      <c r="N71" s="33"/>
      <c r="O71" s="612"/>
    </row>
    <row r="72" spans="1:20" s="323" customFormat="1" ht="2.25" customHeight="1" x14ac:dyDescent="0.2">
      <c r="A72" s="322"/>
      <c r="C72" s="11"/>
      <c r="D72" s="11"/>
      <c r="E72" s="11"/>
      <c r="F72" s="11"/>
      <c r="G72" s="11"/>
      <c r="H72" s="11"/>
      <c r="I72" s="11"/>
      <c r="J72" s="11"/>
      <c r="K72" s="11"/>
      <c r="M72" s="66"/>
      <c r="N72" s="30"/>
      <c r="P72" s="11"/>
      <c r="Q72" s="11"/>
      <c r="R72" s="11"/>
      <c r="S72" s="11"/>
      <c r="T72" s="11"/>
    </row>
    <row r="73" spans="1:20" s="34" customFormat="1" ht="14.25" hidden="1" customHeight="1" x14ac:dyDescent="0.2">
      <c r="A73" s="31"/>
      <c r="B73" s="166"/>
      <c r="E73" s="32"/>
      <c r="F73" s="32"/>
      <c r="G73" s="32"/>
      <c r="H73" s="32"/>
      <c r="I73" s="32"/>
      <c r="J73" s="32"/>
      <c r="K73" s="32"/>
      <c r="L73" s="65"/>
      <c r="M73" s="65"/>
      <c r="N73" s="33"/>
      <c r="O73" s="611"/>
      <c r="P73" s="613"/>
    </row>
    <row r="74" spans="1:20" ht="12" customHeight="1" x14ac:dyDescent="0.2">
      <c r="A74" s="35"/>
      <c r="B74" s="36"/>
      <c r="C74" s="36"/>
      <c r="D74" s="36"/>
      <c r="E74" s="36"/>
      <c r="F74" s="36"/>
      <c r="G74" s="36"/>
      <c r="H74" s="36"/>
      <c r="I74" s="36"/>
      <c r="J74" s="36"/>
      <c r="K74" s="36"/>
      <c r="L74" s="36"/>
      <c r="M74" s="36"/>
      <c r="N74" s="594"/>
      <c r="O74" s="610"/>
    </row>
    <row r="75" spans="1:20" ht="6.95" customHeight="1" thickBot="1" x14ac:dyDescent="0.25"/>
    <row r="76" spans="1:20" ht="15" thickBot="1" x14ac:dyDescent="0.25">
      <c r="D76" s="1123" t="s">
        <v>408</v>
      </c>
      <c r="E76" s="1124"/>
      <c r="F76" s="1124"/>
      <c r="G76" s="1124"/>
      <c r="H76" s="1124"/>
      <c r="I76" s="1124"/>
      <c r="J76" s="1125"/>
      <c r="O76" s="610"/>
    </row>
  </sheetData>
  <sheetProtection algorithmName="SHA-512" hashValue="jZmhiafH1POKDDAL2YdgPPPqRj7bzeXRtJCMF/3Cp3aUqotyjrg5EFSOz/oci3ko3HogEKs0Ip26BqmX6njmag==" saltValue="+umUlG3HEg+JkQ6Dbh+yFg==" spinCount="100000" sheet="1" objects="1" scenarios="1"/>
  <customSheetViews>
    <customSheetView guid="{9119B1A0-FD79-4FE4-B78E-10E0AEB8080B}" showPageBreaks="1" showGridLines="0" fitToPage="1" printArea="1" hiddenColumns="1" view="pageLayout">
      <selection activeCell="A2" sqref="A2:N2"/>
      <pageMargins left="0.70866141732283472" right="0.70866141732283472" top="0.78740157480314965" bottom="0.78740157480314965" header="0.31496062992125984" footer="0.31496062992125984"/>
      <pageSetup paperSize="9" scale="71" orientation="portrait" r:id="rId1"/>
      <headerFooter>
        <oddHeader>&amp;C&amp;9Seite 1</oddHeader>
        <oddFooter>&amp;L&amp;8Version 21.09.2020&amp;C&amp;8Verhandlungsunterlagen SGB XI (vereinfacht)</oddFooter>
      </headerFooter>
    </customSheetView>
  </customSheetViews>
  <mergeCells count="30">
    <mergeCell ref="L7:M7"/>
    <mergeCell ref="A1:N1"/>
    <mergeCell ref="A2:N2"/>
    <mergeCell ref="A3:N3"/>
    <mergeCell ref="D6:G6"/>
    <mergeCell ref="L6:M6"/>
    <mergeCell ref="A5:B5"/>
    <mergeCell ref="L4:M4"/>
    <mergeCell ref="D36:M36"/>
    <mergeCell ref="H41:M41"/>
    <mergeCell ref="F50:G50"/>
    <mergeCell ref="D76:J76"/>
    <mergeCell ref="D34:H34"/>
    <mergeCell ref="J34:M34"/>
    <mergeCell ref="F52:G52"/>
    <mergeCell ref="H8:K8"/>
    <mergeCell ref="D32:H32"/>
    <mergeCell ref="J32:M32"/>
    <mergeCell ref="D12:M12"/>
    <mergeCell ref="D14:M14"/>
    <mergeCell ref="D16:M16"/>
    <mergeCell ref="D18:H18"/>
    <mergeCell ref="J18:M18"/>
    <mergeCell ref="D20:H20"/>
    <mergeCell ref="D30:M30"/>
    <mergeCell ref="J20:M20"/>
    <mergeCell ref="D22:H22"/>
    <mergeCell ref="J22:M22"/>
    <mergeCell ref="D26:M26"/>
    <mergeCell ref="D28:M28"/>
  </mergeCells>
  <conditionalFormatting sqref="D8:K8">
    <cfRule type="expression" dxfId="99" priority="9">
      <formula>$D$7&lt;&gt;"kzp"</formula>
    </cfRule>
  </conditionalFormatting>
  <conditionalFormatting sqref="K7:M7">
    <cfRule type="expression" dxfId="96" priority="10">
      <formula>$L$46=0</formula>
    </cfRule>
  </conditionalFormatting>
  <conditionalFormatting sqref="L41">
    <cfRule type="expression" dxfId="95" priority="12">
      <formula>Wennoder($L$46&lt;0,$L$46=0,"")</formula>
    </cfRule>
  </conditionalFormatting>
  <dataValidations count="7">
    <dataValidation type="date" errorStyle="warning" operator="greaterThan" allowBlank="1" showInputMessage="1" showErrorMessage="1" errorTitle="Laufzeitbeginn im Jahr 2017" error="Laufzeitbeginn ab 01.01.2017 möglich" sqref="H51:H52" xr:uid="{00000000-0002-0000-0100-000000000000}">
      <formula1>42735</formula1>
    </dataValidation>
    <dataValidation allowBlank="1" showInputMessage="1" showErrorMessage="1" promptTitle="Quorum" prompt="Bitte Hinweise zur Berechnung des Anteils beachten!" sqref="K65" xr:uid="{00000000-0002-0000-0100-000001000000}"/>
    <dataValidation type="whole" errorStyle="information" allowBlank="1" showInputMessage="1" showErrorMessage="1" errorTitle="angebundene KZP" promptTitle="angebundene KZP" prompt="siehe allgemeine Hinweise" sqref="L47" xr:uid="{00000000-0002-0000-0100-000002000000}">
      <formula1>1</formula1>
      <formula2>30</formula2>
    </dataValidation>
    <dataValidation type="list" allowBlank="1" showInputMessage="1" showErrorMessage="1" sqref="L71 L69" xr:uid="{00000000-0002-0000-0100-000003000000}">
      <formula1>"ja,nein"</formula1>
    </dataValidation>
    <dataValidation type="whole" errorStyle="information" allowBlank="1" showInputMessage="1" showErrorMessage="1" errorTitle="angebundene KZP" promptTitle="angebundene / integrierte KZP" prompt="siehe &quot;C1_Hinweise&quot;, Punkt Allgemeine Hinweise" sqref="L46" xr:uid="{00000000-0002-0000-0100-000004000000}">
      <formula1>1</formula1>
      <formula2>30</formula2>
    </dataValidation>
    <dataValidation type="date" operator="greaterThanOrEqual" allowBlank="1" showInputMessage="1" showErrorMessage="1" errorTitle="Laufzeitbeginn im Jahr 2025" error="Laufzeitbeginn ab 01.01.2025 möglich" sqref="H50" xr:uid="{00000000-0002-0000-0100-000005000000}">
      <formula1>45658</formula1>
    </dataValidation>
    <dataValidation type="list" allowBlank="1" showInputMessage="1" showErrorMessage="1" sqref="H8:K8" xr:uid="{00000000-0002-0000-0100-000006000000}">
      <formula1>"solitär, angebunden"</formula1>
    </dataValidation>
  </dataValidations>
  <hyperlinks>
    <hyperlink ref="D76" location="'Anlage 1'!A1" display="Anlage 1" xr:uid="{00000000-0004-0000-0100-000000000000}"/>
    <hyperlink ref="D76:J76" location="'C1_Kalkulation'!A1" display="gehe weiter zu C1_Kalkulation" xr:uid="{00000000-0004-0000-0100-000001000000}"/>
  </hyperlinks>
  <pageMargins left="0.70866141732283472" right="0.70866141732283472" top="0.78740157480314965" bottom="0.78740157480314965" header="0.31496062992125984" footer="0.31496062992125984"/>
  <pageSetup paperSize="9" scale="80" orientation="portrait"/>
  <headerFooter>
    <oddHeader>&amp;C&amp;9Seite 1</oddHeader>
    <oddFooter>&amp;L&amp;8Version: 21.11.2024&amp;C&amp;8Verhandlungsunterlagen SGB XI (vereinfacht C1)&amp;R&amp;8PSK-Beschluss vom 07.11.2024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828675</xdr:colOff>
                    <xdr:row>41</xdr:row>
                    <xdr:rowOff>38100</xdr:rowOff>
                  </from>
                  <to>
                    <xdr:col>9</xdr:col>
                    <xdr:colOff>66675</xdr:colOff>
                    <xdr:row>43</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266700</xdr:colOff>
                    <xdr:row>46</xdr:row>
                    <xdr:rowOff>133350</xdr:rowOff>
                  </from>
                  <to>
                    <xdr:col>12</xdr:col>
                    <xdr:colOff>485775</xdr:colOff>
                    <xdr:row>48</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CB229EF9-AE5D-470D-A735-07EDDD5EE2D4}">
            <xm:f>KAT!$A$113="nein"</xm:f>
            <x14:dxf>
              <fill>
                <patternFill>
                  <bgColor theme="0"/>
                </patternFill>
              </fill>
            </x14:dxf>
          </x14:cfRule>
          <xm:sqref>D11</xm:sqref>
        </x14:conditionalFormatting>
        <x14:conditionalFormatting xmlns:xm="http://schemas.microsoft.com/office/excel/2006/main">
          <x14:cfRule type="expression" priority="6" id="{1DE0D987-CAC8-433D-9D17-2914C01C2EA7}">
            <xm:f>KAT!$A$113="nein"</xm:f>
            <x14:dxf>
              <fill>
                <patternFill>
                  <bgColor theme="0"/>
                </patternFill>
              </fill>
            </x14:dxf>
          </x14:cfRule>
          <xm:sqref>D7:F7</xm:sqref>
        </x14:conditionalFormatting>
        <x14:conditionalFormatting xmlns:xm="http://schemas.microsoft.com/office/excel/2006/main">
          <x14:cfRule type="expression" priority="3" id="{CB764C07-70B2-43EB-82BF-01330E6C8446}">
            <xm:f>KAT!$A$113="nein"</xm:f>
            <x14:dxf>
              <fill>
                <patternFill>
                  <bgColor theme="0"/>
                </patternFill>
              </fill>
            </x14:dxf>
          </x14:cfRule>
          <xm:sqref>H47</xm:sqref>
        </x14:conditionalFormatting>
        <x14:conditionalFormatting xmlns:xm="http://schemas.microsoft.com/office/excel/2006/main">
          <x14:cfRule type="expression" priority="5" id="{28811D64-F9A4-425A-99B9-C041995C3BA3}">
            <xm:f>KAT!$A$113="nein"</xm:f>
            <x14:dxf>
              <fill>
                <patternFill>
                  <bgColor theme="0"/>
                </patternFill>
              </fill>
            </x14:dxf>
          </x14:cfRule>
          <xm:sqref>J9</xm:sqref>
        </x14:conditionalFormatting>
        <x14:conditionalFormatting xmlns:xm="http://schemas.microsoft.com/office/excel/2006/main">
          <x14:cfRule type="expression" priority="2" id="{C4C18B87-8F47-44F7-A475-1EFEAB082C99}">
            <xm:f>KAT!$A$113="nein"</xm:f>
            <x14:dxf>
              <fill>
                <patternFill>
                  <bgColor theme="0"/>
                </patternFill>
              </fill>
            </x14:dxf>
          </x14:cfRule>
          <xm:sqref>M52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Einrichtungsart" error="bitte aus Liste auswählen" promptTitle="Auswahlmöglichkeit" prompt="teilstationäre Pflege_x000a_Kurzzeitpflege_x000a_vollstationäre Pflege_x000a_Wohnpflegeheim_x000a_Wachkoma_x000a_4. Generation_x000a_" xr:uid="{00000000-0002-0000-0100-000007000000}">
          <x14:formula1>
            <xm:f>KAT!$A$2:$A$7</xm:f>
          </x14:formula1>
          <xm:sqref>D6:G6</xm:sqref>
        </x14:dataValidation>
        <x14:dataValidation type="list" allowBlank="1" showInputMessage="1" showErrorMessage="1" errorTitle="Auswahlmöglichkeit" error="Bitte aus Liste wählen!" xr:uid="{00000000-0002-0000-0100-000008000000}">
          <x14:formula1>
            <xm:f>KAT!$F$2:$F$4</xm:f>
          </x14:formula1>
          <xm:sqref>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T74"/>
  <sheetViews>
    <sheetView showGridLines="0" zoomScaleNormal="100" workbookViewId="0">
      <selection activeCell="B28" sqref="B28"/>
    </sheetView>
  </sheetViews>
  <sheetFormatPr baseColWidth="10" defaultColWidth="11" defaultRowHeight="14.25" x14ac:dyDescent="0.2"/>
  <cols>
    <col min="1" max="1" width="4.375" customWidth="1"/>
    <col min="2" max="2" width="20.875" customWidth="1"/>
    <col min="3" max="3" width="19.625" customWidth="1"/>
    <col min="4" max="4" width="23.5" customWidth="1"/>
    <col min="5" max="5" width="20.625" customWidth="1"/>
    <col min="6" max="6" width="17.625" customWidth="1"/>
    <col min="7" max="7" width="2.375" customWidth="1"/>
    <col min="8" max="8" width="21.75" customWidth="1"/>
    <col min="9" max="10" width="17.625" customWidth="1"/>
    <col min="11" max="11" width="20.625" customWidth="1"/>
    <col min="12" max="12" width="17.625" customWidth="1"/>
    <col min="13" max="13" width="16.75" customWidth="1"/>
    <col min="14" max="14" width="11.5" customWidth="1"/>
    <col min="15" max="16" width="12.625" customWidth="1"/>
    <col min="17" max="17" width="12.75" customWidth="1"/>
    <col min="18" max="18" width="12.25" customWidth="1"/>
    <col min="19" max="19" width="2.875" customWidth="1"/>
    <col min="20" max="45" width="11" customWidth="1"/>
  </cols>
  <sheetData>
    <row r="1" spans="1:46" ht="15" x14ac:dyDescent="0.25">
      <c r="A1" s="249" t="str">
        <f>'C1_Allgemeine Angaben'!A1:N1</f>
        <v>Vereinfachtes Antragsverfahren für tarifungebundene Einrichtungen mit laufender Vereinbarung über den 31. Dezember 2024 im Rahmen § 72 Abs. 3b Satz 7 in Verbindung mit der Veröffentlichung nach § 82c Abs. 5 SGB XI (Stand 31.10.2024)</v>
      </c>
      <c r="B1" s="870"/>
      <c r="C1" s="870"/>
      <c r="D1" s="870"/>
      <c r="E1" s="870"/>
      <c r="F1" s="870"/>
      <c r="G1" s="870"/>
      <c r="H1" s="870"/>
      <c r="I1" s="870"/>
      <c r="J1" s="870"/>
      <c r="K1" s="870"/>
      <c r="L1" s="870"/>
      <c r="M1" s="870"/>
      <c r="N1" s="870"/>
      <c r="O1" s="870"/>
      <c r="P1" s="870"/>
      <c r="Q1" s="250"/>
      <c r="R1" s="250"/>
      <c r="S1" s="20"/>
      <c r="T1" s="170"/>
      <c r="U1" s="818"/>
      <c r="V1" s="185"/>
      <c r="W1" s="819"/>
      <c r="X1" s="243"/>
      <c r="Y1" s="243"/>
    </row>
    <row r="2" spans="1:46" ht="15" x14ac:dyDescent="0.25">
      <c r="A2" s="1145" t="s">
        <v>332</v>
      </c>
      <c r="B2" s="1146"/>
      <c r="C2" s="1146"/>
      <c r="D2" s="1146"/>
      <c r="E2" s="1146"/>
      <c r="F2" s="1146"/>
      <c r="G2" s="1146"/>
      <c r="H2" s="1146"/>
      <c r="I2" s="1146"/>
      <c r="J2" s="1146"/>
      <c r="K2" s="1146"/>
      <c r="L2" s="1146"/>
      <c r="M2" s="1146"/>
      <c r="N2" s="1146"/>
      <c r="O2" s="1146"/>
      <c r="P2" s="1146"/>
      <c r="Q2" s="329"/>
      <c r="R2" s="329"/>
      <c r="S2" s="20"/>
    </row>
    <row r="3" spans="1:46" ht="15" x14ac:dyDescent="0.25">
      <c r="A3" s="821"/>
      <c r="B3" s="415" t="s">
        <v>351</v>
      </c>
      <c r="C3" s="1155">
        <f>'C1_Allgemeine Angaben'!D12:D12</f>
        <v>0</v>
      </c>
      <c r="D3" s="1155"/>
      <c r="E3" s="408"/>
      <c r="F3" s="329"/>
      <c r="G3" s="329"/>
      <c r="H3" s="329"/>
      <c r="I3" s="329"/>
      <c r="J3" s="329"/>
      <c r="K3" s="329" t="str">
        <f>'C1_Allgemeine Angaben'!K7</f>
        <v>IK angebundene KZP:</v>
      </c>
      <c r="L3" s="329">
        <f>'C1_Allgemeine Angaben'!L7:L7</f>
        <v>0</v>
      </c>
      <c r="M3" s="329"/>
      <c r="N3" s="415" t="s">
        <v>2</v>
      </c>
      <c r="O3" s="416"/>
      <c r="P3" s="1157">
        <f>IFERROR('C1_Allgemeine Angaben'!L6:L6,"")</f>
        <v>0</v>
      </c>
      <c r="Q3" s="1158"/>
      <c r="R3" s="329"/>
      <c r="S3" s="20"/>
    </row>
    <row r="4" spans="1:46" x14ac:dyDescent="0.2">
      <c r="A4" s="822"/>
      <c r="B4" s="407" t="s">
        <v>352</v>
      </c>
      <c r="C4" s="1156">
        <f>'C1_Allgemeine Angaben'!D16:D16</f>
        <v>0</v>
      </c>
      <c r="D4" s="1156"/>
      <c r="E4" s="409"/>
      <c r="F4" s="329"/>
      <c r="G4" s="329"/>
      <c r="H4" s="329"/>
      <c r="I4" s="329"/>
      <c r="J4" s="329"/>
      <c r="K4" s="329"/>
      <c r="L4" s="329"/>
      <c r="M4" s="329"/>
      <c r="N4" s="407" t="s">
        <v>344</v>
      </c>
      <c r="O4" s="417"/>
      <c r="P4" s="1159">
        <f>IFERROR('C1_Allgemeine Angaben'!L4,"")</f>
        <v>0</v>
      </c>
      <c r="Q4" s="1160"/>
      <c r="R4" s="329"/>
      <c r="S4" s="20"/>
    </row>
    <row r="5" spans="1:46" ht="9" customHeight="1" x14ac:dyDescent="0.2">
      <c r="A5" s="20"/>
      <c r="S5" s="20"/>
    </row>
    <row r="6" spans="1:46" x14ac:dyDescent="0.2">
      <c r="A6" s="20"/>
      <c r="B6" s="240" t="s">
        <v>163</v>
      </c>
      <c r="D6" s="432"/>
      <c r="E6" s="1"/>
      <c r="H6" s="240" t="s">
        <v>28</v>
      </c>
      <c r="I6" s="433"/>
      <c r="K6" s="240" t="s">
        <v>1</v>
      </c>
      <c r="L6" s="231" t="str">
        <f>IF('C1_Allgemeine Angaben'!D6&gt;0,'C1_Allgemeine Angaben'!D6,"")</f>
        <v/>
      </c>
      <c r="M6" s="279"/>
      <c r="S6" s="20"/>
      <c r="T6" s="169"/>
    </row>
    <row r="7" spans="1:46" ht="9" customHeight="1" x14ac:dyDescent="0.2">
      <c r="A7" s="20"/>
      <c r="D7" s="820"/>
      <c r="S7" s="20"/>
      <c r="T7" s="169"/>
    </row>
    <row r="8" spans="1:46" ht="15" x14ac:dyDescent="0.25">
      <c r="A8" s="20"/>
      <c r="B8" s="60" t="s">
        <v>406</v>
      </c>
      <c r="H8" s="241" t="s">
        <v>399</v>
      </c>
      <c r="I8" s="21"/>
      <c r="J8" s="21"/>
      <c r="K8" s="21"/>
      <c r="L8" s="21"/>
      <c r="M8" s="21"/>
      <c r="N8" s="21"/>
      <c r="O8" s="21"/>
      <c r="P8" s="21"/>
      <c r="Q8" s="21"/>
      <c r="R8" s="21"/>
      <c r="S8" s="20"/>
      <c r="T8" s="169"/>
      <c r="U8" s="169"/>
    </row>
    <row r="9" spans="1:46" ht="5.25" customHeight="1" x14ac:dyDescent="0.2">
      <c r="A9" s="20"/>
      <c r="D9" s="243"/>
      <c r="H9" s="20"/>
      <c r="J9" s="243"/>
      <c r="S9" s="20"/>
    </row>
    <row r="10" spans="1:46" x14ac:dyDescent="0.2">
      <c r="A10" s="20"/>
      <c r="B10" t="s">
        <v>305</v>
      </c>
      <c r="C10" s="242" t="s">
        <v>257</v>
      </c>
      <c r="D10" s="406">
        <f>'C1_Allgemeine Angaben'!H52</f>
        <v>0</v>
      </c>
      <c r="E10" s="242" t="s">
        <v>137</v>
      </c>
      <c r="F10" s="406">
        <f>'C1_Allgemeine Angaben'!K52</f>
        <v>0</v>
      </c>
      <c r="H10" s="20" t="s">
        <v>396</v>
      </c>
      <c r="I10" s="242" t="s">
        <v>257</v>
      </c>
      <c r="J10" s="244" t="str">
        <f>IF('C1_Allgemeine Angaben'!H50=0,"",'C1_Allgemeine Angaben'!H50)</f>
        <v/>
      </c>
      <c r="K10" s="242" t="s">
        <v>137</v>
      </c>
      <c r="L10" s="244">
        <f>IF('C1_Allgemeine Angaben'!K50=0,0,'C1_Allgemeine Angaben'!K50)</f>
        <v>0</v>
      </c>
      <c r="N10" s="1020"/>
      <c r="O10" s="259"/>
      <c r="P10" s="259"/>
      <c r="Q10" s="259"/>
      <c r="R10" s="259"/>
      <c r="S10" s="20"/>
      <c r="T10" s="169"/>
    </row>
    <row r="11" spans="1:46" ht="12" customHeight="1" x14ac:dyDescent="0.2">
      <c r="A11" s="238"/>
      <c r="B11" s="237"/>
      <c r="C11" s="237"/>
      <c r="D11" s="237"/>
      <c r="E11" s="237"/>
      <c r="F11" s="236"/>
      <c r="G11" s="237"/>
      <c r="H11" s="238"/>
      <c r="I11" s="237"/>
      <c r="J11" s="237"/>
      <c r="K11" s="237"/>
      <c r="L11" s="237"/>
      <c r="N11" s="1020"/>
      <c r="O11" s="259"/>
      <c r="P11" s="259"/>
      <c r="Q11" s="259"/>
      <c r="R11" s="259"/>
      <c r="S11" s="20"/>
    </row>
    <row r="12" spans="1:46" x14ac:dyDescent="0.2">
      <c r="A12" s="238"/>
      <c r="B12" s="232" t="s">
        <v>260</v>
      </c>
      <c r="C12" s="233"/>
      <c r="D12" s="233"/>
      <c r="E12" s="186" t="s">
        <v>270</v>
      </c>
      <c r="F12" s="231">
        <f>SUM(B14:F14)</f>
        <v>0</v>
      </c>
      <c r="G12" s="20"/>
      <c r="H12" s="232" t="s">
        <v>260</v>
      </c>
      <c r="I12" s="233"/>
      <c r="J12" s="233"/>
      <c r="K12" s="186" t="s">
        <v>270</v>
      </c>
      <c r="L12" s="186">
        <f>SUM(H14:L14)</f>
        <v>0</v>
      </c>
      <c r="M12" s="419" t="str">
        <f>IF(L12&lt;&gt;'C1_Allgemeine Angaben'!L45,"Prognose entspricht nicht Platzzahl!","")</f>
        <v/>
      </c>
      <c r="N12" s="1166"/>
      <c r="O12" s="1166"/>
      <c r="P12" s="1166"/>
      <c r="Q12" s="1164"/>
      <c r="R12" s="1165"/>
      <c r="S12" s="20"/>
      <c r="T12" s="169"/>
      <c r="AT12" s="20"/>
    </row>
    <row r="13" spans="1:46" x14ac:dyDescent="0.2">
      <c r="A13" s="238"/>
      <c r="B13" s="234" t="s">
        <v>57</v>
      </c>
      <c r="C13" s="234" t="s">
        <v>58</v>
      </c>
      <c r="D13" s="234" t="s">
        <v>59</v>
      </c>
      <c r="E13" s="234" t="s">
        <v>60</v>
      </c>
      <c r="F13" s="235" t="s">
        <v>61</v>
      </c>
      <c r="G13" s="20"/>
      <c r="H13" s="234" t="s">
        <v>57</v>
      </c>
      <c r="I13" s="234" t="s">
        <v>58</v>
      </c>
      <c r="J13" s="234" t="s">
        <v>59</v>
      </c>
      <c r="K13" s="234" t="s">
        <v>60</v>
      </c>
      <c r="L13" s="234" t="s">
        <v>61</v>
      </c>
      <c r="N13" s="259"/>
      <c r="O13" s="259"/>
      <c r="P13" s="259"/>
      <c r="Q13" s="259"/>
      <c r="R13" s="259"/>
      <c r="S13" s="20"/>
      <c r="T13" s="169"/>
      <c r="AT13" s="20"/>
    </row>
    <row r="14" spans="1:46" x14ac:dyDescent="0.2">
      <c r="A14" s="238"/>
      <c r="B14" s="433"/>
      <c r="C14" s="433"/>
      <c r="D14" s="433"/>
      <c r="E14" s="433"/>
      <c r="F14" s="434"/>
      <c r="G14" s="20"/>
      <c r="H14" s="391">
        <f>B14</f>
        <v>0</v>
      </c>
      <c r="I14" s="391">
        <f t="shared" ref="I14:L14" si="0">C14</f>
        <v>0</v>
      </c>
      <c r="J14" s="391">
        <f t="shared" si="0"/>
        <v>0</v>
      </c>
      <c r="K14" s="391">
        <f t="shared" si="0"/>
        <v>0</v>
      </c>
      <c r="L14" s="391">
        <f t="shared" si="0"/>
        <v>0</v>
      </c>
      <c r="N14" s="259"/>
      <c r="O14" s="259"/>
      <c r="P14" s="259"/>
      <c r="Q14" s="259"/>
      <c r="R14" s="259"/>
      <c r="S14" s="20"/>
      <c r="T14" s="169"/>
      <c r="AT14" s="20"/>
    </row>
    <row r="15" spans="1:46" x14ac:dyDescent="0.2">
      <c r="A15" s="238"/>
      <c r="B15" s="396"/>
      <c r="C15" s="259"/>
      <c r="D15" s="259"/>
      <c r="E15" s="259"/>
      <c r="F15" s="259"/>
      <c r="G15" s="20"/>
      <c r="H15" s="291"/>
      <c r="I15" s="259"/>
      <c r="J15" s="259"/>
      <c r="K15" s="259"/>
      <c r="L15" s="259"/>
      <c r="N15" s="259"/>
      <c r="O15" s="259"/>
      <c r="P15" s="259"/>
      <c r="Q15" s="259"/>
      <c r="R15" s="259"/>
      <c r="S15" s="20"/>
      <c r="T15" s="169"/>
    </row>
    <row r="16" spans="1:46" x14ac:dyDescent="0.2">
      <c r="A16" s="238"/>
      <c r="B16" s="239" t="s">
        <v>306</v>
      </c>
      <c r="C16" s="254"/>
      <c r="D16" s="418"/>
      <c r="E16" s="186" t="s">
        <v>270</v>
      </c>
      <c r="F16" s="279">
        <f>SUM(B17:F17)</f>
        <v>0</v>
      </c>
      <c r="G16" s="20"/>
      <c r="H16" s="239" t="s">
        <v>306</v>
      </c>
      <c r="I16" s="254"/>
      <c r="J16" s="418"/>
      <c r="K16" s="186" t="s">
        <v>270</v>
      </c>
      <c r="L16" s="279">
        <f>SUM(H17:L17)</f>
        <v>0</v>
      </c>
      <c r="M16" s="419" t="str">
        <f>IF(L16&lt;&gt;'C1_Allgemeine Angaben'!L46,"Prognose entspricht nicht Platzzahl!","")</f>
        <v/>
      </c>
      <c r="N16" s="259"/>
      <c r="O16" s="259"/>
      <c r="P16" s="259"/>
      <c r="Q16" s="259"/>
      <c r="R16" s="259"/>
      <c r="S16" s="20"/>
      <c r="T16" s="169"/>
    </row>
    <row r="17" spans="1:20" x14ac:dyDescent="0.2">
      <c r="A17" s="238"/>
      <c r="B17" s="433"/>
      <c r="C17" s="433"/>
      <c r="D17" s="433"/>
      <c r="E17" s="433"/>
      <c r="F17" s="433"/>
      <c r="G17" s="20"/>
      <c r="H17" s="186">
        <f>B17</f>
        <v>0</v>
      </c>
      <c r="I17" s="186">
        <f t="shared" ref="I17:L17" si="1">C17</f>
        <v>0</v>
      </c>
      <c r="J17" s="186">
        <f t="shared" si="1"/>
        <v>0</v>
      </c>
      <c r="K17" s="186">
        <f t="shared" si="1"/>
        <v>0</v>
      </c>
      <c r="L17" s="186">
        <f t="shared" si="1"/>
        <v>0</v>
      </c>
      <c r="N17" s="259"/>
      <c r="O17" s="259"/>
      <c r="P17" s="259"/>
      <c r="Q17" s="259"/>
      <c r="R17" s="259"/>
      <c r="S17" s="20"/>
      <c r="T17" s="169"/>
    </row>
    <row r="18" spans="1:20" ht="18.75" customHeight="1" thickBot="1" x14ac:dyDescent="0.25">
      <c r="A18" s="238"/>
      <c r="G18" s="20"/>
      <c r="H18" s="20"/>
      <c r="I18" s="315"/>
      <c r="J18" s="316"/>
      <c r="K18" s="316"/>
      <c r="S18" s="20"/>
      <c r="T18" s="169"/>
    </row>
    <row r="19" spans="1:20" ht="39" thickBot="1" x14ac:dyDescent="0.3">
      <c r="A19" s="238"/>
      <c r="B19" s="225" t="s">
        <v>272</v>
      </c>
      <c r="C19" s="226" t="s">
        <v>258</v>
      </c>
      <c r="D19" s="227" t="s">
        <v>271</v>
      </c>
      <c r="E19" s="228" t="s">
        <v>456</v>
      </c>
      <c r="F19" s="483"/>
      <c r="H19" s="225" t="s">
        <v>272</v>
      </c>
      <c r="I19" s="226" t="s">
        <v>258</v>
      </c>
      <c r="J19" s="227" t="s">
        <v>271</v>
      </c>
      <c r="K19" s="228" t="s">
        <v>456</v>
      </c>
      <c r="L19" s="614">
        <f>F19</f>
        <v>0</v>
      </c>
      <c r="M19" s="377"/>
      <c r="N19" s="376" t="s">
        <v>333</v>
      </c>
      <c r="S19" s="20"/>
      <c r="T19" s="169"/>
    </row>
    <row r="20" spans="1:20" x14ac:dyDescent="0.2">
      <c r="A20" s="238"/>
      <c r="B20" s="223" t="s">
        <v>57</v>
      </c>
      <c r="C20" s="435"/>
      <c r="D20" s="308" t="str">
        <f>IFERROR(ROUND(B14/C20,3),"")</f>
        <v/>
      </c>
      <c r="G20" s="20"/>
      <c r="H20" s="223" t="s">
        <v>57</v>
      </c>
      <c r="I20" s="388">
        <f>C20</f>
        <v>0</v>
      </c>
      <c r="J20" s="308" t="str">
        <f>IFERROR(ROUND(H14/I20,3),"")</f>
        <v/>
      </c>
      <c r="M20" s="378"/>
      <c r="N20" s="428">
        <f>KAT!G81</f>
        <v>0</v>
      </c>
      <c r="P20" s="245"/>
      <c r="S20" s="20"/>
      <c r="T20" s="169"/>
    </row>
    <row r="21" spans="1:20" x14ac:dyDescent="0.2">
      <c r="A21" s="238"/>
      <c r="B21" s="223" t="s">
        <v>58</v>
      </c>
      <c r="C21" s="436"/>
      <c r="D21" s="308" t="str">
        <f>IFERROR(ROUND(C14/C21,3),"")</f>
        <v/>
      </c>
      <c r="G21" s="20"/>
      <c r="H21" s="223" t="s">
        <v>58</v>
      </c>
      <c r="I21" s="388">
        <f t="shared" ref="I21:I24" si="2">C21</f>
        <v>0</v>
      </c>
      <c r="J21" s="308" t="str">
        <f>IFERROR(ROUND(I14/I21,3),"")</f>
        <v/>
      </c>
      <c r="M21" s="378"/>
      <c r="N21" s="428">
        <f>KAT!G82</f>
        <v>0</v>
      </c>
      <c r="S21" s="20"/>
    </row>
    <row r="22" spans="1:20" ht="15" x14ac:dyDescent="0.25">
      <c r="A22" s="238"/>
      <c r="B22" s="223" t="s">
        <v>59</v>
      </c>
      <c r="C22" s="436"/>
      <c r="D22" s="308" t="str">
        <f>IFERROR(ROUND(D14/C22,3),"")</f>
        <v/>
      </c>
      <c r="G22" s="20"/>
      <c r="H22" s="223" t="s">
        <v>59</v>
      </c>
      <c r="I22" s="388">
        <f t="shared" si="2"/>
        <v>0</v>
      </c>
      <c r="J22" s="308" t="str">
        <f>IFERROR(ROUND(J14/I22,3),"")</f>
        <v/>
      </c>
      <c r="K22" s="395"/>
      <c r="L22" s="309"/>
      <c r="M22" s="378"/>
      <c r="N22" s="428">
        <f>KAT!G83</f>
        <v>0</v>
      </c>
      <c r="S22" s="20"/>
      <c r="T22" s="169"/>
    </row>
    <row r="23" spans="1:20" ht="15" x14ac:dyDescent="0.25">
      <c r="A23" s="238"/>
      <c r="B23" s="223" t="s">
        <v>60</v>
      </c>
      <c r="C23" s="436"/>
      <c r="D23" s="209" t="str">
        <f>IFERROR(ROUND(E14/C23,3),"")</f>
        <v/>
      </c>
      <c r="E23" s="229" t="s">
        <v>266</v>
      </c>
      <c r="G23" s="20"/>
      <c r="H23" s="223" t="s">
        <v>60</v>
      </c>
      <c r="I23" s="388">
        <f t="shared" si="2"/>
        <v>0</v>
      </c>
      <c r="J23" s="308" t="str">
        <f>IFERROR(ROUND(K14/I23,3),"")</f>
        <v/>
      </c>
      <c r="K23" s="615" t="s">
        <v>266</v>
      </c>
      <c r="L23" s="394"/>
      <c r="M23" s="378"/>
      <c r="N23" s="428">
        <f>KAT!G84</f>
        <v>0</v>
      </c>
      <c r="O23" s="246"/>
      <c r="S23" s="20"/>
    </row>
    <row r="24" spans="1:20" x14ac:dyDescent="0.2">
      <c r="A24" s="238"/>
      <c r="B24" s="223" t="s">
        <v>61</v>
      </c>
      <c r="C24" s="436"/>
      <c r="D24" s="209" t="str">
        <f>IFERROR(ROUND(F14/C24,3),"")</f>
        <v/>
      </c>
      <c r="E24" s="230" t="s">
        <v>269</v>
      </c>
      <c r="F24" s="231" t="s">
        <v>275</v>
      </c>
      <c r="G24" s="280"/>
      <c r="H24" s="223" t="s">
        <v>61</v>
      </c>
      <c r="I24" s="388">
        <f t="shared" si="2"/>
        <v>0</v>
      </c>
      <c r="J24" s="308" t="str">
        <f>IFERROR(ROUND(L14/I24,3),"")</f>
        <v/>
      </c>
      <c r="K24" s="616" t="s">
        <v>269</v>
      </c>
      <c r="L24" s="186" t="s">
        <v>275</v>
      </c>
      <c r="M24" s="378"/>
      <c r="N24" s="428">
        <f>KAT!G85</f>
        <v>0</v>
      </c>
      <c r="O24" s="397"/>
      <c r="P24" s="397"/>
      <c r="Q24" s="397"/>
      <c r="R24" s="397"/>
      <c r="S24" s="20"/>
      <c r="T24" s="161"/>
    </row>
    <row r="25" spans="1:20" ht="27.95" customHeight="1" x14ac:dyDescent="0.2">
      <c r="A25" s="238"/>
      <c r="B25" s="186" t="s">
        <v>321</v>
      </c>
      <c r="C25" s="931" t="str">
        <f>IF(J25&lt;&gt;D25,"PDL VK entspricht nicht Rahmenvertrag","")</f>
        <v/>
      </c>
      <c r="D25" s="438"/>
      <c r="E25" s="230"/>
      <c r="F25" s="231"/>
      <c r="G25" s="280"/>
      <c r="H25" s="310" t="s">
        <v>321</v>
      </c>
      <c r="I25" s="311"/>
      <c r="J25" s="312" t="str">
        <f>IF('C1_Allgemeine Angaben'!L45=0,"",KAT!D62)</f>
        <v/>
      </c>
      <c r="K25" s="313"/>
      <c r="L25" s="314"/>
      <c r="M25" s="259"/>
      <c r="N25" s="310"/>
      <c r="O25" s="397"/>
      <c r="P25" s="397"/>
      <c r="Q25" s="397"/>
      <c r="R25" s="397"/>
      <c r="S25" s="20"/>
      <c r="T25" s="161"/>
    </row>
    <row r="26" spans="1:20" ht="29.25" customHeight="1" thickBot="1" x14ac:dyDescent="0.25">
      <c r="A26" s="238"/>
      <c r="B26" s="224" t="str">
        <f>IF(KAT!A18=2,"FKQ Pflege - integr./ angebundene KZP:",IF(KAT!A18=1,"FKQ Pflege:",""))</f>
        <v/>
      </c>
      <c r="C26" s="437"/>
      <c r="D26" s="210">
        <f>SUM(D20:D25)</f>
        <v>0</v>
      </c>
      <c r="E26" s="211" t="s">
        <v>268</v>
      </c>
      <c r="F26" s="440"/>
      <c r="G26" s="281"/>
      <c r="H26" s="224" t="str">
        <f>IF(KAT!A18=2,"FKQ Pflege - integr. / angebundene KZP:",IF(KAT!A18=1,"FKQ Pflege:",""))</f>
        <v/>
      </c>
      <c r="I26" s="389">
        <f>C26</f>
        <v>0</v>
      </c>
      <c r="J26" s="402">
        <f>IF('C1_Allgemeine Angaben'!D7&lt;&gt;"vst",SUM(J20:J24),SUM(J20:J25))</f>
        <v>0</v>
      </c>
      <c r="K26" s="211" t="s">
        <v>268</v>
      </c>
      <c r="L26" s="404">
        <f>IF(KAT!B10=1,'C1_Berechnung 2'!K19,'C1_Berechnung'!K19)</f>
        <v>0</v>
      </c>
      <c r="M26" s="429"/>
      <c r="N26" s="430">
        <f>I26</f>
        <v>0</v>
      </c>
      <c r="O26" s="397"/>
      <c r="P26" s="397"/>
      <c r="Q26" s="397"/>
      <c r="R26" s="397"/>
      <c r="S26" s="20"/>
      <c r="T26" s="161"/>
    </row>
    <row r="27" spans="1:20" ht="15.75" thickTop="1" thickBot="1" x14ac:dyDescent="0.25">
      <c r="A27" s="238"/>
      <c r="B27" s="989" t="s">
        <v>261</v>
      </c>
      <c r="C27" s="990"/>
      <c r="D27" s="991">
        <f>IFERROR(ROUND($F$12/C27,3),0)</f>
        <v>0</v>
      </c>
      <c r="E27" s="992" t="str">
        <f t="shared" ref="E27:E31" si="3">B27</f>
        <v>Betreuung:</v>
      </c>
      <c r="F27" s="993"/>
      <c r="G27" s="281"/>
      <c r="H27" s="989" t="s">
        <v>261</v>
      </c>
      <c r="I27" s="998">
        <f>C27</f>
        <v>0</v>
      </c>
      <c r="J27" s="999">
        <f>IFERROR(ROUND($L$12/I27,3),0)</f>
        <v>0</v>
      </c>
      <c r="K27" s="992" t="str">
        <f t="shared" ref="K27:K31" si="4">H27</f>
        <v>Betreuung:</v>
      </c>
      <c r="L27" s="1000">
        <f>IF(I27&gt;0,IF(KAT!B10=1,'C1_Berechnung 2'!K25,'C1_Berechnung'!K25),0)</f>
        <v>0</v>
      </c>
      <c r="M27" s="378"/>
      <c r="N27" s="215">
        <f>I27</f>
        <v>0</v>
      </c>
      <c r="O27" s="397"/>
      <c r="P27" s="397"/>
      <c r="Q27" s="397"/>
      <c r="R27" s="397"/>
      <c r="S27" s="20"/>
      <c r="T27" s="161"/>
    </row>
    <row r="28" spans="1:20" ht="15" thickBot="1" x14ac:dyDescent="0.25">
      <c r="A28" s="238"/>
      <c r="B28" s="1049" t="s">
        <v>717</v>
      </c>
      <c r="C28" s="1006"/>
      <c r="D28" s="1161" t="str">
        <f>IF(AND(B28="Anteil der PFK/BFK in Höhe von:",'C1_Allgemeine Angaben'!D7="vst"),"von der max. möglichen Personalausstattung nach § 113 c Abs. 1 Nr. 3 SGB XI:","")</f>
        <v/>
      </c>
      <c r="E28" s="1162"/>
      <c r="F28" s="1163"/>
      <c r="G28" s="1007"/>
      <c r="H28" s="1004" t="str">
        <f>IF(B28="","",B28)</f>
        <v>Bitte auswählen.</v>
      </c>
      <c r="I28" s="1005">
        <f>C28</f>
        <v>0</v>
      </c>
      <c r="J28" s="1161" t="str">
        <f>D28</f>
        <v/>
      </c>
      <c r="K28" s="1162"/>
      <c r="L28" s="1163"/>
      <c r="M28" s="378"/>
      <c r="N28" s="215"/>
      <c r="O28" s="397"/>
      <c r="P28" s="397"/>
      <c r="Q28" s="397"/>
      <c r="R28" s="397"/>
      <c r="S28" s="20"/>
      <c r="T28" s="161"/>
    </row>
    <row r="29" spans="1:20" x14ac:dyDescent="0.2">
      <c r="A29" s="238"/>
      <c r="B29" s="994" t="s">
        <v>262</v>
      </c>
      <c r="C29" s="435"/>
      <c r="D29" s="995">
        <f>IFERROR(ROUND($F$12/C29,3),0)</f>
        <v>0</v>
      </c>
      <c r="E29" s="996" t="str">
        <f t="shared" si="3"/>
        <v>Leitung/Verwaltung:</v>
      </c>
      <c r="F29" s="997"/>
      <c r="G29" s="281"/>
      <c r="H29" s="994" t="s">
        <v>262</v>
      </c>
      <c r="I29" s="1001">
        <f t="shared" ref="I29:I32" si="5">C29</f>
        <v>0</v>
      </c>
      <c r="J29" s="1002">
        <f t="shared" ref="J29:J32" si="6">IFERROR(ROUND($L$12/I29,3),0)</f>
        <v>0</v>
      </c>
      <c r="K29" s="996" t="str">
        <f t="shared" si="4"/>
        <v>Leitung/Verwaltung:</v>
      </c>
      <c r="L29" s="1003">
        <f>F29</f>
        <v>0</v>
      </c>
      <c r="M29" s="378"/>
      <c r="N29" s="215">
        <f t="shared" ref="N29:N32" si="7">I29</f>
        <v>0</v>
      </c>
      <c r="O29" s="397"/>
      <c r="P29" s="397"/>
      <c r="Q29" s="397"/>
      <c r="R29" s="397"/>
      <c r="S29" s="20"/>
    </row>
    <row r="30" spans="1:20" x14ac:dyDescent="0.2">
      <c r="A30" s="238"/>
      <c r="B30" s="223" t="s">
        <v>263</v>
      </c>
      <c r="C30" s="436"/>
      <c r="D30" s="209">
        <f>IFERROR(ROUND($F$12/C30,3),0)</f>
        <v>0</v>
      </c>
      <c r="E30" s="211" t="str">
        <f t="shared" si="3"/>
        <v>Hauswirtschaft:</v>
      </c>
      <c r="F30" s="440"/>
      <c r="G30" s="281"/>
      <c r="H30" s="223" t="s">
        <v>263</v>
      </c>
      <c r="I30" s="388">
        <f t="shared" si="5"/>
        <v>0</v>
      </c>
      <c r="J30" s="403">
        <f t="shared" si="6"/>
        <v>0</v>
      </c>
      <c r="K30" s="211" t="str">
        <f t="shared" si="4"/>
        <v>Hauswirtschaft:</v>
      </c>
      <c r="L30" s="401">
        <f t="shared" ref="L30:L33" si="8">F30</f>
        <v>0</v>
      </c>
      <c r="M30" s="378"/>
      <c r="N30" s="215">
        <f t="shared" si="7"/>
        <v>0</v>
      </c>
      <c r="O30" s="397"/>
      <c r="P30" s="397"/>
      <c r="Q30" s="397"/>
      <c r="R30" s="397"/>
      <c r="S30" s="20"/>
    </row>
    <row r="31" spans="1:20" x14ac:dyDescent="0.2">
      <c r="A31" s="238"/>
      <c r="B31" s="223" t="s">
        <v>264</v>
      </c>
      <c r="C31" s="436"/>
      <c r="D31" s="209">
        <f>IFERROR(ROUND($F$12/C31,3),0)</f>
        <v>0</v>
      </c>
      <c r="E31" s="211" t="str">
        <f t="shared" si="3"/>
        <v>Küche:</v>
      </c>
      <c r="F31" s="440"/>
      <c r="G31" s="281"/>
      <c r="H31" s="223" t="s">
        <v>264</v>
      </c>
      <c r="I31" s="388">
        <f t="shared" si="5"/>
        <v>0</v>
      </c>
      <c r="J31" s="403">
        <f t="shared" si="6"/>
        <v>0</v>
      </c>
      <c r="K31" s="211" t="str">
        <f t="shared" si="4"/>
        <v>Küche:</v>
      </c>
      <c r="L31" s="401">
        <f t="shared" si="8"/>
        <v>0</v>
      </c>
      <c r="M31" s="378"/>
      <c r="N31" s="215">
        <f t="shared" si="7"/>
        <v>0</v>
      </c>
      <c r="O31" s="397"/>
      <c r="P31" s="397"/>
      <c r="Q31" s="397"/>
      <c r="R31" s="397"/>
      <c r="S31" s="20"/>
      <c r="T31" s="1"/>
    </row>
    <row r="32" spans="1:20" x14ac:dyDescent="0.2">
      <c r="A32" s="238"/>
      <c r="B32" s="223" t="s">
        <v>265</v>
      </c>
      <c r="C32" s="436"/>
      <c r="D32" s="209">
        <f>IFERROR(ROUND($F$12/C32,3),0)</f>
        <v>0</v>
      </c>
      <c r="E32" s="212" t="str">
        <f>B32</f>
        <v>Haustechnik:</v>
      </c>
      <c r="F32" s="440"/>
      <c r="G32" s="281"/>
      <c r="H32" s="223" t="s">
        <v>265</v>
      </c>
      <c r="I32" s="388">
        <f t="shared" si="5"/>
        <v>0</v>
      </c>
      <c r="J32" s="403">
        <f t="shared" si="6"/>
        <v>0</v>
      </c>
      <c r="K32" s="212" t="str">
        <f>H32</f>
        <v>Haustechnik:</v>
      </c>
      <c r="L32" s="401">
        <f t="shared" si="8"/>
        <v>0</v>
      </c>
      <c r="M32" s="378"/>
      <c r="N32" s="215">
        <f t="shared" si="7"/>
        <v>0</v>
      </c>
      <c r="O32" s="397"/>
      <c r="P32" s="397"/>
      <c r="Q32" s="397"/>
      <c r="R32" s="397"/>
      <c r="S32" s="20"/>
      <c r="T32" s="1"/>
    </row>
    <row r="33" spans="1:20" ht="29.25" customHeight="1" x14ac:dyDescent="0.2">
      <c r="A33" s="238"/>
      <c r="B33" s="1152" t="s">
        <v>274</v>
      </c>
      <c r="C33" s="1153"/>
      <c r="D33" s="439"/>
      <c r="E33" s="212" t="str">
        <f>B33</f>
        <v>Freiwillige Dienste/ FSJ Einsatz:</v>
      </c>
      <c r="F33" s="441"/>
      <c r="G33" s="281"/>
      <c r="H33" s="1152" t="s">
        <v>273</v>
      </c>
      <c r="I33" s="1153"/>
      <c r="J33" s="390">
        <f>D33</f>
        <v>0</v>
      </c>
      <c r="K33" s="212" t="str">
        <f>H33</f>
        <v>Freiwillige Dienste/FSJ Einsatz:</v>
      </c>
      <c r="L33" s="484">
        <f t="shared" si="8"/>
        <v>0</v>
      </c>
      <c r="M33" s="397"/>
      <c r="N33" s="431"/>
      <c r="O33" s="397"/>
      <c r="P33" s="397"/>
      <c r="Q33" s="397"/>
      <c r="R33" s="397"/>
      <c r="S33" s="20"/>
    </row>
    <row r="34" spans="1:20" ht="42.75" customHeight="1" x14ac:dyDescent="0.2">
      <c r="A34" s="238"/>
      <c r="B34" s="224" t="s">
        <v>267</v>
      </c>
      <c r="C34" s="215">
        <v>20</v>
      </c>
      <c r="D34" s="209">
        <f>$F$12/C34</f>
        <v>0</v>
      </c>
      <c r="E34" s="212" t="s">
        <v>267</v>
      </c>
      <c r="F34" s="440"/>
      <c r="G34" s="281"/>
      <c r="H34" s="224" t="s">
        <v>259</v>
      </c>
      <c r="I34" s="215">
        <v>20</v>
      </c>
      <c r="J34" s="216">
        <f>IFERROR(ROUND($L$12/I34,3),"")</f>
        <v>0</v>
      </c>
      <c r="K34" s="212" t="s">
        <v>267</v>
      </c>
      <c r="L34" s="404">
        <f>IF(KAT!B10=1,'C1_Berechnung 2'!K31,'C1_Berechnung'!K31)</f>
        <v>0</v>
      </c>
      <c r="M34" s="378"/>
      <c r="N34" s="215">
        <f>I34</f>
        <v>20</v>
      </c>
      <c r="O34" s="397"/>
      <c r="P34" s="397"/>
      <c r="Q34" s="397"/>
      <c r="R34" s="397"/>
      <c r="S34" s="20"/>
    </row>
    <row r="35" spans="1:20" ht="3" customHeight="1" x14ac:dyDescent="0.2">
      <c r="A35" s="238"/>
      <c r="B35" s="176"/>
      <c r="H35" s="20"/>
      <c r="M35" s="247"/>
      <c r="N35" s="248"/>
      <c r="S35" s="20"/>
    </row>
    <row r="36" spans="1:20" ht="15" x14ac:dyDescent="0.25">
      <c r="A36" s="823"/>
      <c r="B36" s="249" t="s">
        <v>94</v>
      </c>
      <c r="C36" s="250"/>
      <c r="D36" s="250"/>
      <c r="E36" s="250"/>
      <c r="F36" s="254"/>
      <c r="H36" s="272" t="s">
        <v>94</v>
      </c>
      <c r="I36" s="273"/>
      <c r="J36" s="273"/>
      <c r="K36" s="273"/>
      <c r="L36" s="485"/>
      <c r="M36" s="398"/>
      <c r="N36" s="395"/>
      <c r="O36" s="398"/>
      <c r="P36" s="259"/>
      <c r="Q36" s="259"/>
      <c r="R36" s="259"/>
      <c r="S36" s="20"/>
    </row>
    <row r="37" spans="1:20" x14ac:dyDescent="0.2">
      <c r="A37" s="824"/>
      <c r="B37" s="251" t="s">
        <v>279</v>
      </c>
      <c r="C37" s="176" t="s">
        <v>38</v>
      </c>
      <c r="D37" s="168"/>
      <c r="E37" s="178"/>
      <c r="F37" s="442"/>
      <c r="G37" s="20"/>
      <c r="H37" s="393" t="s">
        <v>279</v>
      </c>
      <c r="I37" s="183" t="s">
        <v>38</v>
      </c>
      <c r="K37" s="19"/>
      <c r="L37" s="392">
        <f>F37</f>
        <v>0</v>
      </c>
      <c r="M37" s="399"/>
      <c r="N37" s="397"/>
      <c r="O37" s="397"/>
      <c r="P37" s="397"/>
      <c r="Q37" s="397"/>
      <c r="R37" s="397"/>
      <c r="S37" s="20"/>
    </row>
    <row r="38" spans="1:20" x14ac:dyDescent="0.2">
      <c r="A38" s="825"/>
      <c r="B38" s="252" t="s">
        <v>280</v>
      </c>
      <c r="C38" s="176" t="s">
        <v>276</v>
      </c>
      <c r="D38" s="168"/>
      <c r="E38" s="178"/>
      <c r="F38" s="442"/>
      <c r="G38" s="20"/>
      <c r="H38" s="255" t="s">
        <v>280</v>
      </c>
      <c r="I38" s="176" t="s">
        <v>276</v>
      </c>
      <c r="J38" s="168"/>
      <c r="K38" s="178"/>
      <c r="L38" s="392">
        <f t="shared" ref="L38:L46" si="9">F38</f>
        <v>0</v>
      </c>
      <c r="M38" s="399"/>
      <c r="N38" s="397"/>
      <c r="O38" s="397"/>
      <c r="P38" s="397"/>
      <c r="Q38" s="397"/>
      <c r="R38" s="397"/>
      <c r="S38" s="20"/>
      <c r="T38" s="50"/>
    </row>
    <row r="39" spans="1:20" x14ac:dyDescent="0.2">
      <c r="A39" s="825"/>
      <c r="B39" s="252" t="s">
        <v>281</v>
      </c>
      <c r="C39" s="176" t="s">
        <v>277</v>
      </c>
      <c r="D39" s="168"/>
      <c r="E39" s="178"/>
      <c r="F39" s="442"/>
      <c r="G39" s="20"/>
      <c r="H39" s="256" t="s">
        <v>281</v>
      </c>
      <c r="I39" s="176" t="s">
        <v>277</v>
      </c>
      <c r="J39" s="168"/>
      <c r="K39" s="178"/>
      <c r="L39" s="392">
        <f t="shared" si="9"/>
        <v>0</v>
      </c>
      <c r="M39" s="399"/>
      <c r="N39" s="397"/>
      <c r="O39" s="397"/>
      <c r="P39" s="397"/>
      <c r="Q39" s="397"/>
      <c r="R39" s="397"/>
      <c r="S39" s="20"/>
    </row>
    <row r="40" spans="1:20" x14ac:dyDescent="0.2">
      <c r="A40" s="825"/>
      <c r="B40" s="253" t="s">
        <v>282</v>
      </c>
      <c r="C40" s="20" t="s">
        <v>43</v>
      </c>
      <c r="E40" s="19"/>
      <c r="F40" s="442"/>
      <c r="G40" s="20"/>
      <c r="H40" s="256" t="s">
        <v>282</v>
      </c>
      <c r="I40" s="176" t="s">
        <v>43</v>
      </c>
      <c r="J40" s="168"/>
      <c r="K40" s="178"/>
      <c r="L40" s="392">
        <f t="shared" si="9"/>
        <v>0</v>
      </c>
      <c r="M40" s="399"/>
      <c r="N40" s="397"/>
      <c r="O40" s="397"/>
      <c r="P40" s="397"/>
      <c r="Q40" s="397"/>
      <c r="R40" s="397"/>
      <c r="S40" s="20"/>
      <c r="T40" s="50"/>
    </row>
    <row r="41" spans="1:20" x14ac:dyDescent="0.2">
      <c r="A41" s="825"/>
      <c r="B41" s="252" t="s">
        <v>283</v>
      </c>
      <c r="C41" s="176" t="s">
        <v>45</v>
      </c>
      <c r="D41" s="168"/>
      <c r="E41" s="178"/>
      <c r="F41" s="442"/>
      <c r="G41" s="20"/>
      <c r="H41" s="257" t="s">
        <v>283</v>
      </c>
      <c r="I41" s="20" t="s">
        <v>45</v>
      </c>
      <c r="K41" s="19"/>
      <c r="L41" s="392">
        <f t="shared" si="9"/>
        <v>0</v>
      </c>
      <c r="M41" s="399"/>
      <c r="N41" s="397"/>
      <c r="O41" s="397"/>
      <c r="P41" s="397"/>
      <c r="Q41" s="397"/>
      <c r="R41" s="397"/>
      <c r="S41" s="20"/>
    </row>
    <row r="42" spans="1:20" x14ac:dyDescent="0.2">
      <c r="A42" s="825"/>
      <c r="B42" s="253" t="s">
        <v>284</v>
      </c>
      <c r="C42" s="20" t="s">
        <v>47</v>
      </c>
      <c r="E42" s="19"/>
      <c r="F42" s="442"/>
      <c r="G42" s="20"/>
      <c r="H42" s="256" t="s">
        <v>284</v>
      </c>
      <c r="I42" s="176" t="s">
        <v>47</v>
      </c>
      <c r="J42" s="168"/>
      <c r="K42" s="178"/>
      <c r="L42" s="392">
        <f t="shared" si="9"/>
        <v>0</v>
      </c>
      <c r="M42" s="399"/>
      <c r="N42" s="397"/>
      <c r="O42" s="397"/>
      <c r="P42" s="397"/>
      <c r="Q42" s="397"/>
      <c r="R42" s="397"/>
      <c r="S42" s="20"/>
      <c r="T42" s="50"/>
    </row>
    <row r="43" spans="1:20" x14ac:dyDescent="0.2">
      <c r="A43" s="825"/>
      <c r="B43" s="252" t="s">
        <v>285</v>
      </c>
      <c r="C43" s="176" t="s">
        <v>49</v>
      </c>
      <c r="D43" s="168"/>
      <c r="E43" s="178"/>
      <c r="F43" s="442"/>
      <c r="G43" s="20"/>
      <c r="H43" s="257" t="s">
        <v>285</v>
      </c>
      <c r="I43" s="20" t="s">
        <v>49</v>
      </c>
      <c r="K43" s="19"/>
      <c r="L43" s="392">
        <f t="shared" si="9"/>
        <v>0</v>
      </c>
      <c r="M43" s="399"/>
      <c r="N43" s="397"/>
      <c r="O43" s="397"/>
      <c r="P43" s="397"/>
      <c r="Q43" s="397"/>
      <c r="R43" s="397"/>
      <c r="S43" s="20"/>
      <c r="T43" s="50"/>
    </row>
    <row r="44" spans="1:20" x14ac:dyDescent="0.2">
      <c r="A44" s="825"/>
      <c r="B44" s="253" t="s">
        <v>286</v>
      </c>
      <c r="C44" s="20" t="s">
        <v>51</v>
      </c>
      <c r="E44" s="19"/>
      <c r="F44" s="442"/>
      <c r="G44" s="20"/>
      <c r="H44" s="256" t="s">
        <v>286</v>
      </c>
      <c r="I44" s="176" t="s">
        <v>51</v>
      </c>
      <c r="J44" s="168"/>
      <c r="K44" s="178"/>
      <c r="L44" s="392">
        <f t="shared" si="9"/>
        <v>0</v>
      </c>
      <c r="M44" s="399"/>
      <c r="N44" s="397"/>
      <c r="O44" s="397"/>
      <c r="P44" s="397"/>
      <c r="Q44" s="397"/>
      <c r="R44" s="397"/>
      <c r="S44" s="20"/>
    </row>
    <row r="45" spans="1:20" x14ac:dyDescent="0.2">
      <c r="A45" s="825"/>
      <c r="B45" s="252" t="s">
        <v>287</v>
      </c>
      <c r="C45" s="176" t="s">
        <v>53</v>
      </c>
      <c r="D45" s="168"/>
      <c r="E45" s="178"/>
      <c r="F45" s="442"/>
      <c r="G45" s="20"/>
      <c r="H45" s="257" t="s">
        <v>287</v>
      </c>
      <c r="I45" s="20" t="s">
        <v>53</v>
      </c>
      <c r="K45" s="19"/>
      <c r="L45" s="392">
        <f t="shared" si="9"/>
        <v>0</v>
      </c>
      <c r="M45" s="399"/>
      <c r="N45" s="397"/>
      <c r="O45" s="397"/>
      <c r="P45" s="397"/>
      <c r="Q45" s="397"/>
      <c r="R45" s="397"/>
      <c r="S45" s="20"/>
      <c r="T45" s="50"/>
    </row>
    <row r="46" spans="1:20" x14ac:dyDescent="0.2">
      <c r="A46" s="825"/>
      <c r="B46" s="253" t="s">
        <v>288</v>
      </c>
      <c r="C46" s="183" t="s">
        <v>55</v>
      </c>
      <c r="E46" s="19"/>
      <c r="F46" s="442"/>
      <c r="G46" s="20"/>
      <c r="H46" s="256" t="s">
        <v>288</v>
      </c>
      <c r="I46" s="176" t="s">
        <v>55</v>
      </c>
      <c r="J46" s="168"/>
      <c r="K46" s="178"/>
      <c r="L46" s="392">
        <f t="shared" si="9"/>
        <v>0</v>
      </c>
      <c r="M46" s="399"/>
      <c r="N46" s="397"/>
      <c r="O46" s="397"/>
      <c r="P46" s="397"/>
      <c r="Q46" s="397"/>
      <c r="R46" s="397"/>
      <c r="S46" s="20"/>
      <c r="T46" s="50"/>
    </row>
    <row r="47" spans="1:20" x14ac:dyDescent="0.2">
      <c r="A47" s="825"/>
      <c r="B47" s="176"/>
      <c r="C47" s="168" t="s">
        <v>278</v>
      </c>
      <c r="D47" s="168"/>
      <c r="E47" s="178"/>
      <c r="F47" s="218">
        <f>SUM(F37:F46)</f>
        <v>0</v>
      </c>
      <c r="G47" s="20"/>
      <c r="H47" s="183"/>
      <c r="I47" s="89" t="s">
        <v>278</v>
      </c>
      <c r="J47" s="89"/>
      <c r="K47" s="89"/>
      <c r="L47" s="214">
        <f>SUM(L37:L46)</f>
        <v>0</v>
      </c>
      <c r="M47" s="397"/>
      <c r="N47" s="397"/>
      <c r="O47" s="397"/>
      <c r="P47" s="397"/>
      <c r="Q47" s="397"/>
      <c r="R47" s="397"/>
      <c r="S47" s="20"/>
    </row>
    <row r="48" spans="1:20" ht="3" customHeight="1" x14ac:dyDescent="0.2">
      <c r="A48" s="238"/>
      <c r="H48" s="20"/>
      <c r="L48" s="174"/>
      <c r="S48" s="20"/>
    </row>
    <row r="49" spans="1:34" ht="15" x14ac:dyDescent="0.25">
      <c r="A49" s="238"/>
      <c r="B49" s="272" t="s">
        <v>289</v>
      </c>
      <c r="C49" s="273"/>
      <c r="D49" s="273"/>
      <c r="E49" s="273"/>
      <c r="F49" s="254"/>
      <c r="H49" s="272" t="s">
        <v>289</v>
      </c>
      <c r="I49" s="273"/>
      <c r="J49" s="273"/>
      <c r="K49" s="273"/>
      <c r="L49" s="400"/>
      <c r="M49" s="398"/>
      <c r="N49" s="259"/>
      <c r="O49" s="398"/>
      <c r="P49" s="259"/>
      <c r="Q49" s="259"/>
      <c r="R49" s="259"/>
      <c r="S49" s="20"/>
      <c r="T49" s="1"/>
    </row>
    <row r="50" spans="1:34" x14ac:dyDescent="0.2">
      <c r="A50" s="826"/>
      <c r="B50" s="274" t="s">
        <v>291</v>
      </c>
      <c r="C50" t="s">
        <v>32</v>
      </c>
      <c r="E50" s="19"/>
      <c r="F50" s="443"/>
      <c r="G50" s="20"/>
      <c r="H50" s="274" t="s">
        <v>291</v>
      </c>
      <c r="I50" t="s">
        <v>32</v>
      </c>
      <c r="K50" s="253"/>
      <c r="L50" s="213">
        <f>F50</f>
        <v>0</v>
      </c>
      <c r="M50" s="1154"/>
      <c r="N50" s="1154"/>
      <c r="O50" s="1154"/>
      <c r="P50" s="1154"/>
      <c r="Q50" s="1154"/>
      <c r="R50" s="1154"/>
      <c r="S50" s="20"/>
    </row>
    <row r="51" spans="1:34" x14ac:dyDescent="0.2">
      <c r="A51" s="826"/>
      <c r="B51" s="275" t="s">
        <v>292</v>
      </c>
      <c r="C51" s="168" t="s">
        <v>34</v>
      </c>
      <c r="D51" s="168"/>
      <c r="E51" s="178"/>
      <c r="F51" s="208"/>
      <c r="G51" s="20"/>
      <c r="H51" s="275" t="s">
        <v>292</v>
      </c>
      <c r="I51" s="168" t="s">
        <v>34</v>
      </c>
      <c r="J51" s="168"/>
      <c r="K51" s="252"/>
      <c r="L51" s="213">
        <f>F51</f>
        <v>0</v>
      </c>
      <c r="M51" s="1154"/>
      <c r="N51" s="1154"/>
      <c r="O51" s="1154"/>
      <c r="P51" s="1154"/>
      <c r="Q51" s="1154"/>
      <c r="R51" s="1154"/>
      <c r="S51" s="20"/>
    </row>
    <row r="52" spans="1:34" x14ac:dyDescent="0.2">
      <c r="A52" s="826"/>
      <c r="B52" s="275" t="s">
        <v>293</v>
      </c>
      <c r="C52" s="168" t="s">
        <v>331</v>
      </c>
      <c r="D52" s="168"/>
      <c r="E52" s="178"/>
      <c r="F52" s="208"/>
      <c r="G52" s="20"/>
      <c r="H52" s="276" t="s">
        <v>293</v>
      </c>
      <c r="I52" s="176" t="s">
        <v>331</v>
      </c>
      <c r="K52" s="253"/>
      <c r="L52" s="213">
        <f>IF('C1_Allgemeine Angaben'!D7&lt;&gt;"vst",0,F52)</f>
        <v>0</v>
      </c>
      <c r="M52" s="1154"/>
      <c r="N52" s="1154"/>
      <c r="O52" s="1154"/>
      <c r="P52" s="1154"/>
      <c r="Q52" s="1154"/>
      <c r="R52" s="1154"/>
      <c r="S52" s="20"/>
    </row>
    <row r="53" spans="1:34" x14ac:dyDescent="0.2">
      <c r="A53" s="826"/>
      <c r="B53" s="275" t="s">
        <v>294</v>
      </c>
      <c r="C53" t="s">
        <v>35</v>
      </c>
      <c r="D53" s="168"/>
      <c r="E53" s="178"/>
      <c r="F53" s="208"/>
      <c r="G53" s="20"/>
      <c r="H53" s="275" t="s">
        <v>294</v>
      </c>
      <c r="I53" t="s">
        <v>35</v>
      </c>
      <c r="J53" s="168"/>
      <c r="K53" s="252"/>
      <c r="L53" s="213">
        <f>F53</f>
        <v>0</v>
      </c>
      <c r="M53" s="1154"/>
      <c r="N53" s="1154"/>
      <c r="O53" s="1154"/>
      <c r="P53" s="1154"/>
      <c r="Q53" s="1154"/>
      <c r="R53" s="1154"/>
      <c r="S53" s="20"/>
    </row>
    <row r="54" spans="1:34" x14ac:dyDescent="0.2">
      <c r="A54" s="826"/>
      <c r="B54" s="274" t="s">
        <v>295</v>
      </c>
      <c r="C54" s="168" t="s">
        <v>36</v>
      </c>
      <c r="E54" s="19"/>
      <c r="F54" s="208"/>
      <c r="G54" s="20"/>
      <c r="H54" s="274" t="s">
        <v>295</v>
      </c>
      <c r="I54" s="168" t="s">
        <v>36</v>
      </c>
      <c r="K54" s="253"/>
      <c r="L54" s="213">
        <f t="shared" ref="L54:L56" si="10">F54</f>
        <v>0</v>
      </c>
      <c r="M54" s="1154"/>
      <c r="N54" s="1154"/>
      <c r="O54" s="1154"/>
      <c r="P54" s="1154"/>
      <c r="Q54" s="1154"/>
      <c r="R54" s="1154"/>
      <c r="S54" s="20"/>
    </row>
    <row r="55" spans="1:34" x14ac:dyDescent="0.2">
      <c r="A55" s="826"/>
      <c r="B55" s="275" t="s">
        <v>296</v>
      </c>
      <c r="C55" t="s">
        <v>33</v>
      </c>
      <c r="D55" s="168"/>
      <c r="E55" s="178"/>
      <c r="F55" s="208"/>
      <c r="G55" s="20"/>
      <c r="H55" s="275" t="s">
        <v>296</v>
      </c>
      <c r="I55" t="s">
        <v>33</v>
      </c>
      <c r="J55" s="168"/>
      <c r="K55" s="252"/>
      <c r="L55" s="213">
        <f t="shared" si="10"/>
        <v>0</v>
      </c>
      <c r="M55" s="1154"/>
      <c r="N55" s="1154"/>
      <c r="O55" s="1154"/>
      <c r="P55" s="1154"/>
      <c r="Q55" s="1154"/>
      <c r="R55" s="1154"/>
      <c r="S55" s="20"/>
    </row>
    <row r="56" spans="1:34" x14ac:dyDescent="0.2">
      <c r="A56" s="826"/>
      <c r="B56" s="274" t="s">
        <v>297</v>
      </c>
      <c r="C56" s="168" t="s">
        <v>290</v>
      </c>
      <c r="E56" s="19"/>
      <c r="F56" s="208"/>
      <c r="G56" s="20"/>
      <c r="H56" s="274" t="s">
        <v>297</v>
      </c>
      <c r="I56" s="168" t="s">
        <v>290</v>
      </c>
      <c r="K56" s="253"/>
      <c r="L56" s="213">
        <f t="shared" si="10"/>
        <v>0</v>
      </c>
      <c r="M56" s="1154"/>
      <c r="N56" s="1154"/>
      <c r="O56" s="1154"/>
      <c r="P56" s="1154"/>
      <c r="Q56" s="1154"/>
      <c r="R56" s="1154"/>
      <c r="S56" s="20"/>
    </row>
    <row r="57" spans="1:34" x14ac:dyDescent="0.2">
      <c r="A57" s="825"/>
      <c r="B57" s="174"/>
      <c r="C57" s="168" t="s">
        <v>278</v>
      </c>
      <c r="D57" s="168"/>
      <c r="E57" s="178"/>
      <c r="F57" s="217">
        <f>SUM(F50:F56)</f>
        <v>0</v>
      </c>
      <c r="G57" s="183"/>
      <c r="H57" s="176"/>
      <c r="I57" s="176" t="s">
        <v>278</v>
      </c>
      <c r="J57" s="168"/>
      <c r="K57" s="168"/>
      <c r="L57" s="214">
        <f>SUM(L50:L56)</f>
        <v>0</v>
      </c>
      <c r="M57" s="1154"/>
      <c r="N57" s="1154"/>
      <c r="O57" s="1154"/>
      <c r="P57" s="1154"/>
      <c r="Q57" s="1154"/>
      <c r="R57" s="1154"/>
      <c r="S57" s="20"/>
    </row>
    <row r="58" spans="1:34" ht="9" customHeight="1" thickBot="1" x14ac:dyDescent="0.25">
      <c r="A58" s="827"/>
      <c r="F58" s="21"/>
      <c r="S58" s="20"/>
    </row>
    <row r="59" spans="1:34" s="258" customFormat="1" ht="15" x14ac:dyDescent="0.25">
      <c r="A59" s="828"/>
      <c r="B59" s="269" t="s">
        <v>298</v>
      </c>
      <c r="C59" s="270"/>
      <c r="D59" s="270"/>
      <c r="E59" s="270"/>
      <c r="F59" s="271"/>
      <c r="G59"/>
      <c r="H59" s="263"/>
      <c r="I59" s="1149" t="s">
        <v>302</v>
      </c>
      <c r="J59" s="1150"/>
      <c r="K59" s="1151"/>
      <c r="L59" s="277"/>
      <c r="S59" s="828"/>
    </row>
    <row r="60" spans="1:34" s="258" customFormat="1" ht="12.75" x14ac:dyDescent="0.2">
      <c r="A60" s="828"/>
      <c r="B60" s="264" t="s">
        <v>57</v>
      </c>
      <c r="C60" s="266" t="s">
        <v>58</v>
      </c>
      <c r="D60" s="266" t="s">
        <v>59</v>
      </c>
      <c r="E60" s="266" t="s">
        <v>60</v>
      </c>
      <c r="F60" s="267" t="s">
        <v>61</v>
      </c>
      <c r="G60" s="222"/>
      <c r="H60" s="264" t="s">
        <v>304</v>
      </c>
      <c r="I60" s="266" t="s">
        <v>299</v>
      </c>
      <c r="J60" s="266" t="s">
        <v>101</v>
      </c>
      <c r="K60" s="267" t="s">
        <v>300</v>
      </c>
      <c r="L60" s="278" t="s">
        <v>301</v>
      </c>
      <c r="M60" s="262"/>
      <c r="S60" s="828"/>
    </row>
    <row r="61" spans="1:34" ht="15" thickBot="1" x14ac:dyDescent="0.25">
      <c r="A61" s="20"/>
      <c r="B61" s="219">
        <f>'C1_Gesamtkalkulation'!H51</f>
        <v>0</v>
      </c>
      <c r="C61" s="220">
        <f>IFERROR('C1_Gesamtkalkulation'!J51,0)</f>
        <v>0</v>
      </c>
      <c r="D61" s="220">
        <f>IFERROR('C1_Gesamtkalkulation'!L51,0)</f>
        <v>0</v>
      </c>
      <c r="E61" s="220">
        <f>IFERROR('C1_Gesamtkalkulation'!N51,0)</f>
        <v>0</v>
      </c>
      <c r="F61" s="221">
        <f>IFERROR('C1_Gesamtkalkulation'!P51,0)</f>
        <v>0</v>
      </c>
      <c r="G61" s="222"/>
      <c r="H61" s="219" t="str">
        <f>IFERROR('C1_Gesamtkalkulation'!J49,0)</f>
        <v/>
      </c>
      <c r="I61" s="220">
        <f>IFERROR('C1_Gesamtkalkulation'!R51,0)</f>
        <v>0</v>
      </c>
      <c r="J61" s="220">
        <f>IFERROR('C1_Gesamtkalkulation'!T51,0)</f>
        <v>0</v>
      </c>
      <c r="K61" s="221">
        <f>IFERROR('C1_Gesamtkalkulation'!V51,0)</f>
        <v>0</v>
      </c>
      <c r="L61" s="221">
        <f>L19</f>
        <v>0</v>
      </c>
      <c r="S61" s="20"/>
    </row>
    <row r="62" spans="1:34" s="259" customFormat="1" ht="5.0999999999999996" customHeight="1" thickBot="1" x14ac:dyDescent="0.25">
      <c r="A62" s="291"/>
      <c r="B62" s="282"/>
      <c r="C62" s="282"/>
      <c r="D62" s="282"/>
      <c r="E62" s="282"/>
      <c r="F62" s="282"/>
      <c r="G62" s="222"/>
      <c r="H62" s="282"/>
      <c r="I62" s="265"/>
      <c r="J62" s="265"/>
      <c r="K62" s="265"/>
      <c r="S62" s="291"/>
      <c r="T62"/>
      <c r="U62"/>
      <c r="V62"/>
      <c r="W62"/>
      <c r="X62"/>
      <c r="Y62"/>
      <c r="Z62"/>
      <c r="AA62"/>
      <c r="AB62"/>
      <c r="AC62"/>
      <c r="AD62"/>
      <c r="AE62"/>
      <c r="AF62"/>
      <c r="AG62"/>
      <c r="AH62"/>
    </row>
    <row r="63" spans="1:34" x14ac:dyDescent="0.2">
      <c r="A63" s="20"/>
      <c r="B63" s="1147" t="s">
        <v>308</v>
      </c>
      <c r="C63" s="1147"/>
      <c r="D63" s="1147"/>
      <c r="E63" s="1147"/>
      <c r="F63" s="1148"/>
      <c r="G63" s="222"/>
      <c r="H63" s="265"/>
      <c r="I63" s="1141" t="s">
        <v>307</v>
      </c>
      <c r="J63" s="1142"/>
      <c r="K63" s="1143"/>
      <c r="L63" s="259"/>
      <c r="S63" s="20"/>
    </row>
    <row r="64" spans="1:34" x14ac:dyDescent="0.2">
      <c r="A64" s="20"/>
      <c r="B64" s="830" t="s">
        <v>57</v>
      </c>
      <c r="C64" s="266" t="s">
        <v>58</v>
      </c>
      <c r="D64" s="266" t="s">
        <v>59</v>
      </c>
      <c r="E64" s="266" t="s">
        <v>60</v>
      </c>
      <c r="F64" s="267" t="s">
        <v>61</v>
      </c>
      <c r="G64" s="222"/>
      <c r="H64" s="265"/>
      <c r="I64" s="264" t="s">
        <v>299</v>
      </c>
      <c r="J64" s="266" t="s">
        <v>101</v>
      </c>
      <c r="K64" s="267" t="s">
        <v>300</v>
      </c>
      <c r="L64" s="259"/>
      <c r="S64" s="20"/>
    </row>
    <row r="65" spans="1:34" ht="15" thickBot="1" x14ac:dyDescent="0.25">
      <c r="A65" s="20"/>
      <c r="B65" s="831">
        <f>IFERROR('C1_Gesamtkalkulation'!H53,0)</f>
        <v>0</v>
      </c>
      <c r="C65" s="220" t="str">
        <f>IFERROR('C1_Gesamtkalkulation'!J53,0)</f>
        <v/>
      </c>
      <c r="D65" s="220" t="str">
        <f>IFERROR('C1_Gesamtkalkulation'!L53,0)</f>
        <v/>
      </c>
      <c r="E65" s="220" t="str">
        <f>IFERROR('C1_Gesamtkalkulation'!N53,0)</f>
        <v/>
      </c>
      <c r="F65" s="221" t="str">
        <f>IFERROR('C1_Gesamtkalkulation'!P53,0)</f>
        <v/>
      </c>
      <c r="G65" s="222"/>
      <c r="H65" s="265"/>
      <c r="I65" s="219" t="str">
        <f>IFERROR('C1_Gesamtkalkulation'!R53,0)</f>
        <v/>
      </c>
      <c r="J65" s="220" t="str">
        <f>IFERROR('C1_Gesamtkalkulation'!T53,0)</f>
        <v/>
      </c>
      <c r="K65" s="221" t="str">
        <f>IFERROR('C1_Gesamtkalkulation'!V53,0)</f>
        <v/>
      </c>
      <c r="L65" s="259"/>
      <c r="S65" s="20"/>
    </row>
    <row r="66" spans="1:34" ht="7.5" customHeight="1" x14ac:dyDescent="0.2">
      <c r="A66" s="20"/>
      <c r="S66" s="20"/>
    </row>
    <row r="67" spans="1:34" ht="15" x14ac:dyDescent="0.25">
      <c r="A67" s="20"/>
      <c r="B67" s="268" t="s">
        <v>403</v>
      </c>
      <c r="S67" s="20"/>
    </row>
    <row r="68" spans="1:34" s="259" customFormat="1" ht="60" customHeight="1" x14ac:dyDescent="0.2">
      <c r="A68" s="291"/>
      <c r="B68" s="89"/>
      <c r="C68" s="283"/>
      <c r="H68" s="89"/>
      <c r="I68" s="283"/>
      <c r="J68" s="283"/>
      <c r="K68" s="283"/>
      <c r="L68" s="283"/>
      <c r="S68" s="291"/>
      <c r="T68" s="1"/>
      <c r="U68"/>
      <c r="V68"/>
      <c r="W68"/>
      <c r="X68"/>
      <c r="Y68"/>
      <c r="Z68"/>
      <c r="AA68"/>
      <c r="AB68"/>
      <c r="AC68"/>
      <c r="AD68"/>
      <c r="AE68"/>
      <c r="AF68"/>
      <c r="AG68"/>
      <c r="AH68"/>
    </row>
    <row r="69" spans="1:34" x14ac:dyDescent="0.2">
      <c r="A69" s="20"/>
      <c r="B69" t="s">
        <v>303</v>
      </c>
      <c r="H69" t="s">
        <v>402</v>
      </c>
      <c r="S69" s="20"/>
    </row>
    <row r="70" spans="1:34" s="285" customFormat="1" ht="12" x14ac:dyDescent="0.2">
      <c r="A70" s="829"/>
      <c r="B70" s="261"/>
      <c r="C70" s="261"/>
      <c r="D70" s="261"/>
      <c r="E70" s="261"/>
      <c r="F70" s="261"/>
      <c r="G70" s="261"/>
      <c r="O70" s="261"/>
      <c r="P70" s="261"/>
      <c r="Q70" s="261"/>
      <c r="R70" s="1017"/>
      <c r="S70" s="1021"/>
    </row>
    <row r="71" spans="1:34" ht="15" thickBot="1" x14ac:dyDescent="0.25">
      <c r="H71" s="978"/>
      <c r="I71" s="978"/>
      <c r="J71" s="978"/>
      <c r="K71" s="978"/>
      <c r="L71" s="978"/>
      <c r="M71" s="978"/>
      <c r="N71" s="978"/>
    </row>
    <row r="72" spans="1:34" ht="15" thickBot="1" x14ac:dyDescent="0.25">
      <c r="H72" s="1123" t="s">
        <v>409</v>
      </c>
      <c r="I72" s="1124"/>
      <c r="J72" s="1124"/>
      <c r="K72" s="1124"/>
      <c r="L72" s="1124"/>
      <c r="M72" s="1124"/>
      <c r="N72" s="1125"/>
    </row>
    <row r="73" spans="1:34" ht="15" thickBot="1" x14ac:dyDescent="0.25">
      <c r="H73" s="1123" t="s">
        <v>609</v>
      </c>
      <c r="I73" s="1124"/>
      <c r="J73" s="1124"/>
      <c r="K73" s="1124"/>
      <c r="L73" s="1124"/>
      <c r="M73" s="1124"/>
      <c r="N73" s="1125"/>
    </row>
    <row r="74" spans="1:34" x14ac:dyDescent="0.2">
      <c r="H74" s="1144"/>
      <c r="I74" s="1144"/>
      <c r="J74" s="1144"/>
      <c r="K74" s="1144"/>
      <c r="L74" s="1144"/>
      <c r="M74" s="1144"/>
      <c r="N74" s="1144"/>
    </row>
  </sheetData>
  <sheetProtection algorithmName="SHA-512" hashValue="jNVzlLmA2dgLc34mDTEevyNAx8rgpBKGy/ykqRQhvEFtGzcBh4+MMYm2oX/AmoeBgZ1xYUW6hS8f3YdgqL/Rbw==" saltValue="IOYCEDeJZuVaeq+4c+qavA==" spinCount="100000" sheet="1" objects="1" scenarios="1"/>
  <customSheetViews>
    <customSheetView guid="{9119B1A0-FD79-4FE4-B78E-10E0AEB8080B}" scale="70" showGridLines="0" fitToPage="1" hiddenColumns="1">
      <selection activeCell="F30" sqref="F30"/>
      <pageMargins left="0.39370078740157483" right="0.39370078740157483" top="0.78740157480314965" bottom="0.78740157480314965" header="0.31496062992125984" footer="0.31496062992125984"/>
      <pageSetup paperSize="9" scale="48" orientation="landscape"/>
      <headerFooter>
        <oddHeader>&amp;C&amp;9Seite 2</oddHeader>
        <oddFooter>&amp;LVersion: 13.11.2019&amp;CVerhandlungsunterlagen SGB XI (vereinfacht)</oddFooter>
      </headerFooter>
    </customSheetView>
  </customSheetViews>
  <mergeCells count="18">
    <mergeCell ref="Q12:R12"/>
    <mergeCell ref="N12:P12"/>
    <mergeCell ref="H72:N72"/>
    <mergeCell ref="I63:K63"/>
    <mergeCell ref="H74:N74"/>
    <mergeCell ref="H73:N73"/>
    <mergeCell ref="A2:P2"/>
    <mergeCell ref="B63:F63"/>
    <mergeCell ref="I59:K59"/>
    <mergeCell ref="B33:C33"/>
    <mergeCell ref="H33:I33"/>
    <mergeCell ref="M50:R57"/>
    <mergeCell ref="C3:D3"/>
    <mergeCell ref="C4:D4"/>
    <mergeCell ref="P3:Q3"/>
    <mergeCell ref="P4:Q4"/>
    <mergeCell ref="J28:L28"/>
    <mergeCell ref="D28:F28"/>
  </mergeCells>
  <conditionalFormatting sqref="H28">
    <cfRule type="expression" dxfId="80" priority="2">
      <formula>$B$28="Bitte auswählen."</formula>
    </cfRule>
  </conditionalFormatting>
  <dataValidations yWindow="696" count="3">
    <dataValidation type="whole" allowBlank="1" showInputMessage="1" showErrorMessage="1" error="ganze Zahlen_x000a_ab 85 bis 100_x000a_je nach Einrichtungsart" promptTitle="je nach Einrichtungsart:" prompt="teistationär: 85% bis 100%_x000a_vollstationär: 96% bis 100%_x000a_Kurzzeitpflege: 70% bis 100%_x000a__x000a_" sqref="D6" xr:uid="{00000000-0002-0000-0200-000000000000}">
      <formula1>70</formula1>
      <formula2>100</formula2>
    </dataValidation>
    <dataValidation type="list" allowBlank="1" showInputMessage="1" showErrorMessage="1" promptTitle="je nach Einrichtungsart wählen" prompt="vollstationär: 365 Tage/Jahr_x000a_KZP: 365 Tage/Jahr_x000a_teilstationär: Mo-Fr. 250 Tage/Jahr_x000a_teilstationär: Mo-Sa 312 Tage/Jahr_x000a_teilstationär: Mo-So 365 Tage/Jahr" sqref="I6" xr:uid="{00000000-0002-0000-0200-000001000000}">
      <formula1>"250,312,365"</formula1>
    </dataValidation>
    <dataValidation allowBlank="1" showErrorMessage="1" sqref="L19" xr:uid="{00000000-0002-0000-0200-000002000000}"/>
  </dataValidations>
  <hyperlinks>
    <hyperlink ref="H72" location="'Anlage 1'!A1" display="Anlage 1" xr:uid="{00000000-0004-0000-0200-000000000000}"/>
    <hyperlink ref="H72:N72" location="'C1_Berechnung'!A1" display="gehe weiter zu C1_Berechnung" xr:uid="{00000000-0004-0000-0200-000001000000}"/>
    <hyperlink ref="H73" location="'Anlage 1'!A1" display="Anlage 1" xr:uid="{00000000-0004-0000-0200-000002000000}"/>
    <hyperlink ref="H73:N73" location="'C1_Berechnung 2'!Druckbereich" display="gehe weiter zu C1_Berechnung 2" xr:uid="{00000000-0004-0000-0200-000003000000}"/>
  </hyperlinks>
  <pageMargins left="0.39370078740157483" right="0.39370078740157483" top="0.78740157480314965" bottom="0.78740157480314965" header="0.31496062992125984" footer="0.31496062992125984"/>
  <pageSetup paperSize="9" scale="45" orientation="landscape"/>
  <headerFooter>
    <oddHeader>&amp;C&amp;9Seite 2</oddHeader>
    <oddFooter>&amp;LVersion: 21.11.20243&amp;CVerhandlungsunterlagen SGB XI (vereinfacht C1)&amp;RPSK-Beschluss vom 07.11.2024</oddFooter>
  </headerFooter>
  <ignoredErrors>
    <ignoredError sqref="N20:N26" unlockedFormula="1"/>
  </ignoredErrors>
  <extLst>
    <ext xmlns:x14="http://schemas.microsoft.com/office/spreadsheetml/2009/9/main" uri="{78C0D931-6437-407d-A8EE-F0AAD7539E65}">
      <x14:conditionalFormattings>
        <x14:conditionalFormatting xmlns:xm="http://schemas.microsoft.com/office/excel/2006/main">
          <x14:cfRule type="expression" priority="17" id="{FCC6DCA4-D5CA-4831-9340-9C2B5295B5D5}">
            <xm:f>KAT!$A$18=0</xm:f>
            <x14:dxf>
              <font>
                <color theme="0"/>
              </font>
              <fill>
                <patternFill>
                  <bgColor theme="0"/>
                </patternFill>
              </fill>
            </x14:dxf>
          </x14:cfRule>
          <xm:sqref>B26:C26 H26:I26</xm:sqref>
        </x14:conditionalFormatting>
        <x14:conditionalFormatting xmlns:xm="http://schemas.microsoft.com/office/excel/2006/main">
          <x14:cfRule type="expression" priority="26" id="{BF353730-72EE-4C6A-9C39-84208F488C9E}">
            <xm:f>'C1_Allgemeine Angaben'!$D$7&lt;&gt;"vst"</xm:f>
            <x14:dxf>
              <font>
                <color theme="0" tint="-4.9989318521683403E-2"/>
              </font>
              <fill>
                <patternFill>
                  <bgColor theme="0" tint="-0.14996795556505021"/>
                </patternFill>
              </fill>
            </x14:dxf>
          </x14:cfRule>
          <xm:sqref>B25:D25</xm:sqref>
        </x14:conditionalFormatting>
        <x14:conditionalFormatting xmlns:xm="http://schemas.microsoft.com/office/excel/2006/main">
          <x14:cfRule type="expression" priority="20" id="{B9B3E313-7FAE-472A-8951-AC525CA5760A}">
            <xm:f>'C1_Allgemeine Angaben'!$L$46=0</xm:f>
            <x14:dxf>
              <font>
                <color theme="0" tint="-0.24994659260841701"/>
              </font>
              <fill>
                <patternFill>
                  <bgColor theme="0" tint="-0.34998626667073579"/>
                </patternFill>
              </fill>
              <border>
                <left/>
                <right/>
                <top/>
                <bottom/>
              </border>
            </x14:dxf>
          </x14:cfRule>
          <xm:sqref>B16:F17 H16:L17</xm:sqref>
        </x14:conditionalFormatting>
        <x14:conditionalFormatting xmlns:xm="http://schemas.microsoft.com/office/excel/2006/main">
          <x14:cfRule type="expression" priority="32" id="{10138DDA-0113-4BF7-B442-64C624BBE027}">
            <xm:f>'C1_Allgemeine Angaben'!$D$7&lt;&gt;"vst"</xm:f>
            <x14:dxf>
              <font>
                <color theme="0" tint="-0.14996795556505021"/>
              </font>
              <fill>
                <patternFill>
                  <bgColor theme="0" tint="-0.24994659260841701"/>
                </patternFill>
              </fill>
            </x14:dxf>
          </x14:cfRule>
          <xm:sqref>B52:F52</xm:sqref>
        </x14:conditionalFormatting>
        <x14:conditionalFormatting xmlns:xm="http://schemas.microsoft.com/office/excel/2006/main">
          <x14:cfRule type="expression" priority="52" id="{A21501EE-BCA5-41D9-B4F3-2002CB5EFB90}">
            <xm:f>'C1_Allgemeine Angaben'!$L$46=0</xm:f>
            <x14:dxf>
              <font>
                <color theme="0" tint="-0.14996795556505021"/>
              </font>
              <fill>
                <patternFill>
                  <bgColor theme="0" tint="-0.24994659260841701"/>
                </patternFill>
              </fill>
              <border>
                <left style="thin">
                  <color auto="1"/>
                </left>
                <right/>
                <top/>
                <bottom/>
                <vertical/>
                <horizontal/>
              </border>
            </x14:dxf>
          </x14:cfRule>
          <xm:sqref>B63:F63 B64:B65</xm:sqref>
        </x14:conditionalFormatting>
        <x14:conditionalFormatting xmlns:xm="http://schemas.microsoft.com/office/excel/2006/main">
          <x14:cfRule type="expression" priority="13" id="{86A5BF60-042A-49F2-B37F-22F7EAAC9ACD}">
            <xm:f>KAT!$A$18=1</xm:f>
            <x14:dxf>
              <font>
                <color theme="0"/>
              </font>
              <fill>
                <patternFill>
                  <bgColor theme="0" tint="-0.14996795556505021"/>
                </patternFill>
              </fill>
            </x14:dxf>
          </x14:cfRule>
          <xm:sqref>C28 I28</xm:sqref>
        </x14:conditionalFormatting>
        <x14:conditionalFormatting xmlns:xm="http://schemas.microsoft.com/office/excel/2006/main">
          <x14:cfRule type="expression" priority="54" id="{86A9EC2E-0278-481E-ACC5-0B6D9E1B776A}">
            <xm:f>'C1_Allgemeine Angaben'!$L$46=0</xm:f>
            <x14:dxf>
              <font>
                <color theme="0" tint="-0.14996795556505021"/>
              </font>
              <fill>
                <patternFill>
                  <fgColor theme="0"/>
                  <bgColor theme="0" tint="-0.24994659260841701"/>
                </patternFill>
              </fill>
              <border>
                <left/>
                <right/>
                <top/>
                <bottom/>
                <vertical/>
                <horizontal/>
              </border>
            </x14:dxf>
          </x14:cfRule>
          <xm:sqref>C64:E65</xm:sqref>
        </x14:conditionalFormatting>
        <x14:conditionalFormatting xmlns:xm="http://schemas.microsoft.com/office/excel/2006/main">
          <x14:cfRule type="expression" priority="45" id="{7EED9CB8-E343-4D34-A76E-0D149CBE2CEA}">
            <xm:f>'C1_Allgemeine Angaben'!$D$7&lt;&gt;"tst"</xm:f>
            <x14:dxf>
              <font>
                <color theme="0"/>
              </font>
              <fill>
                <patternFill>
                  <fgColor theme="0"/>
                  <bgColor theme="0"/>
                </patternFill>
              </fill>
              <border>
                <left style="thin">
                  <color auto="1"/>
                </left>
                <right/>
                <top/>
                <bottom/>
                <vertical/>
                <horizontal/>
              </border>
            </x14:dxf>
          </x14:cfRule>
          <xm:sqref>E19</xm:sqref>
        </x14:conditionalFormatting>
        <x14:conditionalFormatting xmlns:xm="http://schemas.microsoft.com/office/excel/2006/main">
          <x14:cfRule type="expression" priority="44" id="{E3BB435D-9F54-4BF1-BD4F-B6C588E2BF09}">
            <xm:f>'C1_Allgemeine Angaben'!$D$7&lt;&gt;"tst"</xm:f>
            <x14:dxf>
              <font>
                <color theme="0" tint="-0.14996795556505021"/>
              </font>
              <fill>
                <patternFill>
                  <fgColor theme="0"/>
                  <bgColor theme="0" tint="-0.24994659260841701"/>
                </patternFill>
              </fill>
              <border>
                <left/>
                <right/>
                <top/>
                <bottom/>
                <vertical/>
                <horizontal/>
              </border>
            </x14:dxf>
          </x14:cfRule>
          <xm:sqref>F19</xm:sqref>
        </x14:conditionalFormatting>
        <x14:conditionalFormatting xmlns:xm="http://schemas.microsoft.com/office/excel/2006/main">
          <x14:cfRule type="expression" priority="53" id="{535B2BD5-69C4-4999-BA48-A73B05B1D54B}">
            <xm:f>'C1_Allgemeine Angaben'!$L$46=0</xm:f>
            <x14:dxf>
              <border>
                <left/>
                <right/>
                <top/>
                <bottom/>
                <vertical/>
                <horizontal/>
              </border>
            </x14:dxf>
          </x14:cfRule>
          <x14:cfRule type="expression" priority="56" id="{1FC2EBED-EB36-4AA1-A40D-EDCF3BC89E76}">
            <xm:f>'C1_Allgemeine Angaben'!$L$46=0</xm:f>
            <x14:dxf>
              <font>
                <color theme="0" tint="-0.14996795556505021"/>
              </font>
              <fill>
                <patternFill>
                  <bgColor theme="0" tint="-0.24994659260841701"/>
                </patternFill>
              </fill>
              <border>
                <left style="thin">
                  <color auto="1"/>
                </left>
                <right/>
                <top/>
                <bottom/>
                <vertical/>
                <horizontal/>
              </border>
            </x14:dxf>
          </x14:cfRule>
          <xm:sqref>F64:F65</xm:sqref>
        </x14:conditionalFormatting>
        <x14:conditionalFormatting xmlns:xm="http://schemas.microsoft.com/office/excel/2006/main">
          <x14:cfRule type="expression" priority="21" id="{5A94A4FE-BBB5-44D2-A967-4105FD134481}">
            <xm:f>'C1_Allgemeine Angaben'!$L$46=0</xm:f>
            <x14:dxf>
              <font>
                <color theme="0"/>
              </font>
              <fill>
                <patternFill>
                  <fgColor theme="0"/>
                  <bgColor theme="0"/>
                </patternFill>
              </fill>
              <border>
                <left/>
                <right/>
                <top/>
                <bottom/>
                <vertical/>
                <horizontal/>
              </border>
            </x14:dxf>
          </x14:cfRule>
          <xm:sqref>H16</xm:sqref>
        </x14:conditionalFormatting>
        <x14:conditionalFormatting xmlns:xm="http://schemas.microsoft.com/office/excel/2006/main">
          <x14:cfRule type="expression" priority="14" id="{FB2433EF-568B-4727-B58D-CBC393660C64}">
            <xm:f>KAT!$A$18=1</xm:f>
            <x14:dxf>
              <font>
                <color theme="0" tint="-4.9989318521683403E-2"/>
              </font>
              <fill>
                <patternFill>
                  <bgColor theme="0" tint="-0.14996795556505021"/>
                </patternFill>
              </fill>
            </x14:dxf>
          </x14:cfRule>
          <xm:sqref>H28 B28 D28:F28 J28:L28</xm:sqref>
        </x14:conditionalFormatting>
        <x14:conditionalFormatting xmlns:xm="http://schemas.microsoft.com/office/excel/2006/main">
          <x14:cfRule type="expression" priority="40" id="{4FAEF94E-8D74-41A5-90D2-634C432A36E7}">
            <xm:f>'C1_Allgemeine Angaben'!$D$7&lt;&gt;"vst"</xm:f>
            <x14:dxf>
              <font>
                <color theme="0"/>
              </font>
              <fill>
                <patternFill>
                  <fgColor theme="0"/>
                  <bgColor theme="0"/>
                </patternFill>
              </fill>
              <border>
                <left/>
                <right style="thin">
                  <color auto="1"/>
                </right>
                <top/>
                <bottom/>
                <vertical/>
                <horizontal/>
              </border>
            </x14:dxf>
          </x14:cfRule>
          <xm:sqref>H59:H61</xm:sqref>
        </x14:conditionalFormatting>
        <x14:conditionalFormatting xmlns:xm="http://schemas.microsoft.com/office/excel/2006/main">
          <x14:cfRule type="expression" priority="35" id="{5F7E4E2D-5E9F-4983-BF21-AEFF4F8565A8}">
            <xm:f>'C1_Allgemeine Angaben'!$D$7&lt;&gt;"vst"</xm:f>
            <x14:dxf>
              <font>
                <color theme="0" tint="-0.24994659260841701"/>
              </font>
              <fill>
                <patternFill>
                  <bgColor theme="0" tint="-0.24994659260841701"/>
                </patternFill>
              </fill>
            </x14:dxf>
          </x14:cfRule>
          <xm:sqref>H25:L25</xm:sqref>
        </x14:conditionalFormatting>
        <x14:conditionalFormatting xmlns:xm="http://schemas.microsoft.com/office/excel/2006/main">
          <x14:cfRule type="expression" priority="33" id="{A463FEA6-E1A1-4B40-A407-14797A68EF3B}">
            <xm:f>'C1_Allgemeine Angaben'!$D$7&lt;&gt;"vst"</xm:f>
            <x14:dxf>
              <font>
                <color theme="0" tint="-0.24994659260841701"/>
              </font>
              <fill>
                <patternFill>
                  <bgColor theme="0" tint="-0.24994659260841701"/>
                </patternFill>
              </fill>
            </x14:dxf>
          </x14:cfRule>
          <xm:sqref>H52:L52</xm:sqref>
        </x14:conditionalFormatting>
        <x14:conditionalFormatting xmlns:xm="http://schemas.microsoft.com/office/excel/2006/main">
          <x14:cfRule type="expression" priority="8" id="{16F2F33E-61A8-425F-936E-F9181F8B9C91}">
            <xm:f>KAT!$B$10=1</xm:f>
            <x14:dxf>
              <font>
                <color theme="0"/>
              </font>
              <fill>
                <patternFill>
                  <bgColor theme="0"/>
                </patternFill>
              </fill>
            </x14:dxf>
          </x14:cfRule>
          <xm:sqref>H72:N72</xm:sqref>
        </x14:conditionalFormatting>
        <x14:conditionalFormatting xmlns:xm="http://schemas.microsoft.com/office/excel/2006/main">
          <x14:cfRule type="expression" priority="4" id="{65146582-0A7B-4904-A7BA-4093FACECC4A}">
            <xm:f>'C1_Allgemeine Angaben'!$D$7="tst"</xm:f>
            <x14:dxf>
              <fill>
                <patternFill>
                  <fgColor theme="0"/>
                </patternFill>
              </fill>
              <border>
                <left/>
                <right/>
                <top/>
                <bottom/>
                <vertical/>
                <horizontal/>
              </border>
            </x14:dxf>
          </x14:cfRule>
          <xm:sqref>H72:N74</xm:sqref>
        </x14:conditionalFormatting>
        <x14:conditionalFormatting xmlns:xm="http://schemas.microsoft.com/office/excel/2006/main">
          <x14:cfRule type="expression" priority="3" id="{68618827-6AFE-44BD-BE11-64FCC334C9D0}">
            <xm:f>KAT!$B$10=0</xm:f>
            <x14:dxf>
              <font>
                <color theme="0"/>
              </font>
              <fill>
                <patternFill>
                  <bgColor theme="0"/>
                </patternFill>
              </fill>
            </x14:dxf>
          </x14:cfRule>
          <xm:sqref>H73:N73</xm:sqref>
        </x14:conditionalFormatting>
        <x14:conditionalFormatting xmlns:xm="http://schemas.microsoft.com/office/excel/2006/main">
          <x14:cfRule type="expression" priority="5" id="{3615ADBB-40B4-44A5-B5AF-33FD9433C0A1}">
            <xm:f>KAT!$B$10=1</xm:f>
            <x14:dxf>
              <font>
                <color theme="0"/>
              </font>
              <fill>
                <patternFill>
                  <bgColor theme="0"/>
                </patternFill>
              </fill>
            </x14:dxf>
          </x14:cfRule>
          <xm:sqref>H74:N74</xm:sqref>
        </x14:conditionalFormatting>
        <x14:conditionalFormatting xmlns:xm="http://schemas.microsoft.com/office/excel/2006/main">
          <x14:cfRule type="expression" priority="55" id="{C680CE90-A4D4-4E57-BFBD-6C2197B720CC}">
            <xm:f>'C1_Allgemeine Angaben'!$L$46=0</xm:f>
            <x14:dxf>
              <font>
                <color theme="0" tint="-0.14996795556505021"/>
              </font>
              <fill>
                <patternFill>
                  <fgColor theme="0"/>
                  <bgColor theme="0" tint="-0.24994659260841701"/>
                </patternFill>
              </fill>
              <border>
                <left/>
                <right/>
                <top/>
                <bottom/>
                <vertical/>
                <horizontal/>
              </border>
            </x14:dxf>
          </x14:cfRule>
          <xm:sqref>I63:K65</xm:sqref>
        </x14:conditionalFormatting>
        <x14:conditionalFormatting xmlns:xm="http://schemas.microsoft.com/office/excel/2006/main">
          <x14:cfRule type="expression" priority="51" id="{78C4B612-6B76-487F-BE2D-B3E1E1E97178}">
            <xm:f>'C1_Allgemeine Angaben'!$D$7&lt;&gt;"tst"</xm:f>
            <x14:dxf>
              <font>
                <color theme="0"/>
              </font>
              <fill>
                <patternFill>
                  <fgColor theme="0"/>
                  <bgColor theme="0"/>
                </patternFill>
              </fill>
              <border>
                <left style="thin">
                  <color auto="1"/>
                </left>
                <right/>
                <top/>
                <bottom/>
                <vertical/>
                <horizontal/>
              </border>
            </x14:dxf>
          </x14:cfRule>
          <xm:sqref>K19</xm:sqref>
        </x14:conditionalFormatting>
        <x14:conditionalFormatting xmlns:xm="http://schemas.microsoft.com/office/excel/2006/main">
          <x14:cfRule type="expression" priority="18" id="{3F138CFD-D2AF-456C-8328-2ED7240288EF}">
            <xm:f>'C1_Allgemeine Angaben'!$L$46=0</xm:f>
            <x14:dxf>
              <font>
                <color theme="6" tint="0.59996337778862885"/>
              </font>
              <fill>
                <patternFill>
                  <bgColor theme="6" tint="0.59996337778862885"/>
                </patternFill>
              </fill>
            </x14:dxf>
          </x14:cfRule>
          <xm:sqref>K3:L3</xm:sqref>
        </x14:conditionalFormatting>
        <x14:conditionalFormatting xmlns:xm="http://schemas.microsoft.com/office/excel/2006/main">
          <x14:cfRule type="expression" priority="50" id="{15FD42FB-B033-4D61-BDC7-36879DA7ABBC}">
            <xm:f>'C1_Allgemeine Angaben'!$D$7&lt;&gt;"tst"</xm:f>
            <x14:dxf>
              <font>
                <color theme="0" tint="-0.14996795556505021"/>
              </font>
              <fill>
                <patternFill>
                  <fgColor theme="0"/>
                  <bgColor theme="0" tint="-0.24994659260841701"/>
                </patternFill>
              </fill>
              <border>
                <left/>
                <right/>
                <top/>
                <bottom/>
                <vertical/>
                <horizontal/>
              </border>
            </x14:dxf>
          </x14:cfRule>
          <xm:sqref>L19</xm:sqref>
        </x14:conditionalFormatting>
        <x14:conditionalFormatting xmlns:xm="http://schemas.microsoft.com/office/excel/2006/main">
          <x14:cfRule type="expression" priority="42" id="{64370A19-8E96-4201-94FE-8286514C14FD}">
            <xm:f>'C1_Allgemeine Angaben'!$D$7&lt;&gt;"tst"</xm:f>
            <x14:dxf>
              <font>
                <color theme="0"/>
              </font>
              <fill>
                <patternFill>
                  <fgColor theme="0"/>
                  <bgColor theme="0"/>
                </patternFill>
              </fill>
              <border>
                <left style="thin">
                  <color auto="1"/>
                </left>
                <right/>
                <top/>
                <bottom/>
                <vertical/>
                <horizontal/>
              </border>
            </x14:dxf>
          </x14:cfRule>
          <xm:sqref>L59:L61</xm:sqref>
        </x14:conditionalFormatting>
        <x14:conditionalFormatting xmlns:xm="http://schemas.microsoft.com/office/excel/2006/main">
          <x14:cfRule type="expression" priority="1" id="{5334EA4B-F17D-4D28-AFDD-F8685E335935}">
            <xm:f>(KAT!$A$113="nein")</xm:f>
            <x14:dxf>
              <fill>
                <patternFill>
                  <fgColor theme="0"/>
                  <bgColor theme="0"/>
                </patternFill>
              </fill>
            </x14:dxf>
          </x14:cfRule>
          <xm:sqref>M12 M16</xm:sqref>
        </x14:conditionalFormatting>
        <x14:conditionalFormatting xmlns:xm="http://schemas.microsoft.com/office/excel/2006/main">
          <x14:cfRule type="expression" priority="19" id="{55E4823F-0ABB-456B-BE09-1B044594B2AD}">
            <xm:f>'C1_Allgemeine Angaben'!$L$46=0</xm:f>
            <x14:dxf>
              <font>
                <color theme="0"/>
              </font>
            </x14:dxf>
          </x14:cfRule>
          <xm:sqref>M16</xm:sqref>
        </x14:conditionalFormatting>
        <x14:conditionalFormatting xmlns:xm="http://schemas.microsoft.com/office/excel/2006/main">
          <x14:cfRule type="expression" priority="23" id="{4AD6B331-DE55-4481-B3E0-93D96532B7D6}">
            <xm:f>'C1_Allgemeine Angaben'!$L$46=0</xm:f>
            <x14:dxf>
              <font>
                <color theme="0" tint="-0.14996795556505021"/>
              </font>
              <fill>
                <patternFill>
                  <bgColor theme="0" tint="-0.24994659260841701"/>
                </patternFill>
              </fill>
              <border>
                <left/>
                <right/>
                <top/>
                <bottom/>
                <vertical/>
                <horizontal/>
              </border>
            </x14:dxf>
          </x14:cfRule>
          <x14:cfRule type="expression" priority="24" id="{ACC04F98-0927-467E-93C0-4B58A83A0197}">
            <xm:f>'C1_Allgemeine Angaben'!$L$46=0</xm:f>
            <x14:dxf>
              <font>
                <color theme="0"/>
              </font>
              <fill>
                <patternFill>
                  <bgColor theme="0"/>
                </patternFill>
              </fill>
              <border>
                <left/>
                <right/>
                <top/>
                <bottom/>
                <vertical/>
                <horizontal/>
              </border>
            </x14:dxf>
          </x14:cfRule>
          <xm:sqref>N19:N34</xm:sqref>
        </x14:conditionalFormatting>
        <x14:conditionalFormatting xmlns:xm="http://schemas.microsoft.com/office/excel/2006/main">
          <x14:cfRule type="expression" priority="58" id="{23A8072D-6112-4E20-87F0-8A7C9FBC8691}">
            <xm:f>'C1_Allgemeine Angaben'!$L$46=0</xm:f>
            <x14:dxf>
              <font>
                <color theme="0"/>
              </font>
              <fill>
                <patternFill>
                  <bgColor theme="0"/>
                </patternFill>
              </fill>
              <border>
                <left/>
                <right/>
                <top/>
                <bottom/>
                <vertical/>
                <horizontal/>
              </border>
            </x14:dxf>
          </x14:cfRule>
          <xm:sqref>T13</xm:sqref>
        </x14:conditionalFormatting>
        <x14:conditionalFormatting xmlns:xm="http://schemas.microsoft.com/office/excel/2006/main">
          <x14:cfRule type="expression" priority="49" id="{84AA87C2-73F6-4DB9-B475-438D07DAEEEB}">
            <xm:f>'C1_Allgemeine Angaben'!$L$46=0</xm:f>
            <x14:dxf>
              <font>
                <color theme="0"/>
              </font>
              <fill>
                <patternFill>
                  <bgColor theme="0"/>
                </patternFill>
              </fill>
              <border>
                <left/>
                <right/>
                <top/>
                <bottom/>
                <vertical/>
                <horizontal/>
              </border>
            </x14:dxf>
          </x14:cfRule>
          <xm:sqref>T18</xm:sqref>
        </x14:conditionalFormatting>
      </x14:conditionalFormattings>
    </ext>
    <ext xmlns:x14="http://schemas.microsoft.com/office/spreadsheetml/2009/9/main" uri="{CCE6A557-97BC-4b89-ADB6-D9C93CAAB3DF}">
      <x14:dataValidations xmlns:xm="http://schemas.microsoft.com/office/excel/2006/main" yWindow="696" count="1">
        <x14:dataValidation type="list" errorStyle="information" allowBlank="1" showInputMessage="1" showErrorMessage="1" promptTitle="Bitte nur für vst. PE auswählen." prompt="Bitte nur bei vst. Pflegeeinrichtungen auswählen." xr:uid="{00000000-0002-0000-0200-000003000000}">
          <x14:formula1>
            <xm:f>KAT!$A$10:$A$12</xm:f>
          </x14:formula1>
          <xm:sqref>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1"/>
  <sheetViews>
    <sheetView showGridLines="0" zoomScaleNormal="100" workbookViewId="0">
      <selection sqref="A1:N1"/>
    </sheetView>
  </sheetViews>
  <sheetFormatPr baseColWidth="10" defaultColWidth="11" defaultRowHeight="14.25" x14ac:dyDescent="0.2"/>
  <cols>
    <col min="1" max="1" width="3.875" customWidth="1"/>
    <col min="2" max="2" width="46.25" customWidth="1"/>
    <col min="3" max="3" width="15.625" customWidth="1"/>
    <col min="4" max="4" width="21.5" customWidth="1"/>
    <col min="5" max="5" width="18" customWidth="1"/>
    <col min="6" max="6" width="15.625" customWidth="1"/>
    <col min="7" max="7" width="19.625" customWidth="1"/>
    <col min="8" max="8" width="11.875" style="259" customWidth="1"/>
    <col min="9" max="9" width="13.5" customWidth="1"/>
    <col min="10" max="10" width="16.25" customWidth="1"/>
    <col min="11" max="11" width="14.875" customWidth="1"/>
    <col min="12" max="12" width="11.625" customWidth="1"/>
    <col min="13" max="14" width="11" customWidth="1"/>
    <col min="15" max="15" width="5.625" hidden="1" customWidth="1"/>
    <col min="16" max="16" width="12.875" hidden="1" customWidth="1"/>
    <col min="17" max="17" width="15.375" hidden="1" customWidth="1"/>
    <col min="18" max="18" width="13.875" hidden="1" customWidth="1"/>
    <col min="19" max="20" width="0" hidden="1" customWidth="1"/>
    <col min="21" max="21" width="14.75" hidden="1" customWidth="1"/>
  </cols>
  <sheetData>
    <row r="1" spans="1:21" ht="27.75" customHeight="1" x14ac:dyDescent="0.25">
      <c r="A1" s="1167" t="str">
        <f>'C1_Allgemeine Angaben'!A1:A1</f>
        <v>Vereinfachtes Antragsverfahren für tarifungebundene Einrichtungen mit laufender Vereinbarung über den 31. Dezember 2024 im Rahmen § 72 Abs. 3b Satz 7 in Verbindung mit der Veröffentlichung nach § 82c Abs. 5 SGB XI (Stand 31.10.2024)</v>
      </c>
      <c r="B1" s="1168"/>
      <c r="C1" s="1168"/>
      <c r="D1" s="1168"/>
      <c r="E1" s="1168"/>
      <c r="F1" s="1168"/>
      <c r="G1" s="1168"/>
      <c r="H1" s="1168"/>
      <c r="I1" s="1168"/>
      <c r="J1" s="1168"/>
      <c r="K1" s="1168"/>
      <c r="L1" s="1168"/>
      <c r="M1" s="1168"/>
      <c r="N1" s="1169"/>
      <c r="P1" s="832" t="s">
        <v>455</v>
      </c>
      <c r="Q1" s="487"/>
      <c r="R1" s="487"/>
    </row>
    <row r="2" spans="1:21" ht="15" x14ac:dyDescent="0.25">
      <c r="A2" s="488"/>
      <c r="B2" s="1182" t="s">
        <v>394</v>
      </c>
      <c r="C2" s="1182"/>
      <c r="D2" s="1182"/>
      <c r="E2" s="1182"/>
      <c r="F2" s="1182"/>
      <c r="G2" s="1182"/>
      <c r="H2" s="1182"/>
      <c r="I2" s="1182"/>
      <c r="J2" s="1182"/>
      <c r="K2" s="1182"/>
      <c r="L2" s="1182"/>
      <c r="M2" s="1182"/>
      <c r="N2" s="1183"/>
      <c r="P2" s="487"/>
      <c r="Q2" s="487"/>
      <c r="R2" s="487"/>
    </row>
    <row r="3" spans="1:21" x14ac:dyDescent="0.2">
      <c r="A3" s="488"/>
      <c r="B3" s="489">
        <f>'C1_Allgemeine Angaben'!D12:D12</f>
        <v>0</v>
      </c>
      <c r="C3" s="490"/>
      <c r="D3" s="490"/>
      <c r="E3" s="490"/>
      <c r="F3" s="490"/>
      <c r="G3" s="490"/>
      <c r="H3" s="490"/>
      <c r="I3" s="490"/>
      <c r="J3" s="490"/>
      <c r="K3" s="491" t="str">
        <f>'C1_Kalkulation'!N3</f>
        <v>Institutionskennzeichen:</v>
      </c>
      <c r="L3" s="492"/>
      <c r="M3" s="493">
        <f>'C1_Allgemeine Angaben'!L6:L6</f>
        <v>0</v>
      </c>
      <c r="N3" s="494"/>
      <c r="P3" s="487"/>
      <c r="Q3" s="487"/>
      <c r="R3" s="487"/>
    </row>
    <row r="4" spans="1:21" x14ac:dyDescent="0.2">
      <c r="A4" s="488"/>
      <c r="B4" s="495">
        <f>'C1_Allgemeine Angaben'!D16:D16</f>
        <v>0</v>
      </c>
      <c r="C4" s="490"/>
      <c r="D4" s="490"/>
      <c r="E4" s="490"/>
      <c r="F4" s="490"/>
      <c r="G4" s="490"/>
      <c r="H4" s="490"/>
      <c r="I4" s="490"/>
      <c r="J4" s="490"/>
      <c r="K4" s="496" t="str">
        <f>'C1_Kalkulation'!N4</f>
        <v>Antrag vom:</v>
      </c>
      <c r="L4" s="497"/>
      <c r="M4" s="498">
        <f>'C1_Allgemeine Angaben'!L4:L4</f>
        <v>0</v>
      </c>
      <c r="N4" s="494"/>
      <c r="P4" s="487"/>
      <c r="Q4" s="487"/>
      <c r="R4" s="487"/>
      <c r="S4" s="499"/>
      <c r="T4" s="499"/>
      <c r="U4" s="499"/>
    </row>
    <row r="5" spans="1:21" x14ac:dyDescent="0.2">
      <c r="A5" s="291"/>
      <c r="B5" s="259"/>
      <c r="C5" s="259"/>
      <c r="D5" s="259"/>
      <c r="E5" s="259"/>
      <c r="F5" s="259"/>
      <c r="G5" s="259"/>
      <c r="I5" s="259"/>
      <c r="J5" s="259"/>
      <c r="K5" s="259"/>
      <c r="L5" s="259"/>
      <c r="M5" s="259"/>
      <c r="N5" s="260"/>
      <c r="P5" s="487"/>
      <c r="Q5" s="487"/>
      <c r="R5" s="487"/>
      <c r="S5" s="499"/>
      <c r="T5" s="499"/>
      <c r="U5" s="499"/>
    </row>
    <row r="6" spans="1:21" x14ac:dyDescent="0.2">
      <c r="A6" s="291"/>
      <c r="B6" s="1184" t="s">
        <v>584</v>
      </c>
      <c r="C6" s="1184"/>
      <c r="D6" s="1184"/>
      <c r="E6" s="1184"/>
      <c r="F6" s="1184"/>
      <c r="G6" s="259"/>
      <c r="I6" s="259"/>
      <c r="J6" s="259"/>
      <c r="K6" s="259"/>
      <c r="L6" s="259"/>
      <c r="M6" s="259"/>
      <c r="N6" s="260"/>
      <c r="P6" s="487"/>
      <c r="Q6" s="487"/>
      <c r="R6" s="487"/>
      <c r="S6" s="499"/>
      <c r="T6" s="499"/>
      <c r="U6" s="499"/>
    </row>
    <row r="7" spans="1:21" ht="25.5" x14ac:dyDescent="0.2">
      <c r="A7" s="291"/>
      <c r="B7" s="934" t="s">
        <v>515</v>
      </c>
      <c r="C7" s="1052" t="s">
        <v>719</v>
      </c>
      <c r="D7" s="1051" t="s">
        <v>430</v>
      </c>
      <c r="E7" s="1051" t="s">
        <v>431</v>
      </c>
      <c r="F7" s="1051" t="s">
        <v>328</v>
      </c>
      <c r="G7" s="259"/>
      <c r="H7" s="284"/>
      <c r="I7" s="259"/>
      <c r="J7" s="259"/>
      <c r="K7" s="259"/>
      <c r="L7" s="259"/>
      <c r="M7" s="259"/>
      <c r="N7" s="260"/>
      <c r="P7" s="487"/>
      <c r="Q7" s="487"/>
      <c r="R7" s="487"/>
      <c r="S7" s="499"/>
      <c r="T7" s="499"/>
      <c r="U7" s="499"/>
    </row>
    <row r="8" spans="1:21" x14ac:dyDescent="0.2">
      <c r="A8" s="291"/>
      <c r="B8" s="1057" t="s">
        <v>663</v>
      </c>
      <c r="C8" s="1036"/>
      <c r="D8" s="1060"/>
      <c r="E8" s="1060"/>
      <c r="F8" s="351">
        <f>IFERROR(SUM(C8:E8),"")</f>
        <v>0</v>
      </c>
      <c r="G8" s="259"/>
      <c r="I8" s="259"/>
      <c r="J8" s="259"/>
      <c r="K8" s="259"/>
      <c r="L8" s="259"/>
      <c r="M8" s="259"/>
      <c r="N8" s="260"/>
      <c r="P8" s="487"/>
      <c r="Q8" s="487"/>
      <c r="R8" s="487"/>
      <c r="S8" s="499"/>
      <c r="T8" s="499"/>
      <c r="U8" s="499"/>
    </row>
    <row r="9" spans="1:21" x14ac:dyDescent="0.2">
      <c r="A9" s="291"/>
      <c r="B9" s="935" t="str">
        <f>IF(AND('C1_Allgemeine Angaben'!H52&gt;DATE(2023,6,30),F8&gt;0),"Plausibilitätsprüfung","")</f>
        <v/>
      </c>
      <c r="C9" s="1037" t="str">
        <f>IF(B9="","",C15-'C1_Kalkulation'!J25+'C1_Berechnung'!C22)</f>
        <v/>
      </c>
      <c r="D9" s="1037" t="str">
        <f>IF(B9="","",C16+C23)</f>
        <v/>
      </c>
      <c r="E9" s="1037" t="str">
        <f>IF(B9="","",C17+C24)</f>
        <v/>
      </c>
      <c r="F9" s="1059" t="str">
        <f>IF(B9="","",SUM(C9:E9))</f>
        <v/>
      </c>
      <c r="G9" s="259"/>
      <c r="I9" s="259"/>
      <c r="J9" s="259"/>
      <c r="K9" s="259"/>
      <c r="L9" s="259"/>
      <c r="M9" s="259"/>
      <c r="N9" s="260"/>
      <c r="P9" s="487"/>
      <c r="Q9" s="487"/>
      <c r="R9" s="487"/>
      <c r="S9" s="499"/>
      <c r="T9" s="499"/>
      <c r="U9" s="499"/>
    </row>
    <row r="10" spans="1:21" x14ac:dyDescent="0.2">
      <c r="A10" s="291"/>
      <c r="B10" s="259"/>
      <c r="C10" s="259"/>
      <c r="D10" s="259"/>
      <c r="E10" s="259"/>
      <c r="F10" s="259"/>
      <c r="G10" s="259"/>
      <c r="I10" s="259"/>
      <c r="J10" s="259"/>
      <c r="K10" s="259"/>
      <c r="L10" s="259"/>
      <c r="M10" s="259"/>
      <c r="N10" s="260"/>
      <c r="P10" s="973">
        <f>IF(G12=0,1,2)</f>
        <v>1</v>
      </c>
      <c r="Q10" s="974" t="s">
        <v>520</v>
      </c>
      <c r="R10" s="974"/>
      <c r="S10" s="975"/>
      <c r="T10" s="499"/>
      <c r="U10" s="499"/>
    </row>
    <row r="11" spans="1:21" ht="63" customHeight="1" x14ac:dyDescent="0.2">
      <c r="A11" s="291"/>
      <c r="B11" s="1180" t="s">
        <v>346</v>
      </c>
      <c r="C11" s="1180" t="s">
        <v>318</v>
      </c>
      <c r="D11" s="500" t="s">
        <v>347</v>
      </c>
      <c r="E11" s="929" t="s">
        <v>348</v>
      </c>
      <c r="F11" s="501" t="s">
        <v>349</v>
      </c>
      <c r="G11" s="502" t="s">
        <v>519</v>
      </c>
      <c r="H11" s="1195" t="s">
        <v>547</v>
      </c>
      <c r="I11" s="502" t="s">
        <v>376</v>
      </c>
      <c r="J11" s="502" t="s">
        <v>377</v>
      </c>
      <c r="K11" s="502" t="s">
        <v>410</v>
      </c>
      <c r="M11" s="259"/>
      <c r="N11" s="260"/>
      <c r="P11" s="1170" t="s">
        <v>444</v>
      </c>
      <c r="Q11" s="1170"/>
      <c r="R11" s="1170"/>
      <c r="S11" s="499"/>
      <c r="T11" s="499"/>
      <c r="U11" s="499"/>
    </row>
    <row r="12" spans="1:21" x14ac:dyDescent="0.2">
      <c r="A12" s="291"/>
      <c r="B12" s="1181"/>
      <c r="C12" s="1181"/>
      <c r="D12" s="503"/>
      <c r="E12" s="930"/>
      <c r="F12" s="259"/>
      <c r="G12" s="933"/>
      <c r="H12" s="1196"/>
      <c r="I12" s="486"/>
      <c r="J12" s="504">
        <v>0.02</v>
      </c>
      <c r="K12" s="504">
        <v>0.02</v>
      </c>
      <c r="M12" s="259"/>
      <c r="N12" s="260"/>
      <c r="P12" s="487"/>
      <c r="Q12" s="487"/>
      <c r="R12" s="487"/>
      <c r="S12" s="499"/>
      <c r="T12" s="499"/>
      <c r="U12" s="499"/>
    </row>
    <row r="13" spans="1:21" x14ac:dyDescent="0.2">
      <c r="A13" s="291"/>
      <c r="B13" s="505"/>
      <c r="C13" s="505"/>
      <c r="D13" s="259"/>
      <c r="E13" s="506">
        <f>IF(OR(E14&lt;0%,E14&gt;10.001%),"Fehler",0)</f>
        <v>0</v>
      </c>
      <c r="F13" s="507"/>
      <c r="G13" s="571"/>
      <c r="I13" s="508"/>
      <c r="J13" s="410"/>
      <c r="K13" s="509"/>
      <c r="M13" s="259"/>
      <c r="N13" s="260"/>
      <c r="P13" s="480" t="s">
        <v>432</v>
      </c>
      <c r="Q13" s="481" t="s">
        <v>430</v>
      </c>
      <c r="R13" s="482" t="s">
        <v>431</v>
      </c>
      <c r="S13" s="510" t="s">
        <v>445</v>
      </c>
      <c r="T13" s="510"/>
      <c r="U13" s="510"/>
    </row>
    <row r="14" spans="1:21" ht="15.75" thickBot="1" x14ac:dyDescent="0.3">
      <c r="A14" s="291"/>
      <c r="B14" s="511" t="s">
        <v>372</v>
      </c>
      <c r="C14" s="512"/>
      <c r="D14" s="233"/>
      <c r="E14" s="448"/>
      <c r="F14" s="513">
        <f>IF('C1_Allgemeine Angaben'!D7="tst",KAT!C94,KAT!B94)</f>
        <v>8.5000000000000006E-2</v>
      </c>
      <c r="G14" s="447"/>
      <c r="H14" s="447"/>
      <c r="I14" s="447"/>
      <c r="J14" s="447"/>
      <c r="K14" s="514"/>
      <c r="M14" s="259"/>
      <c r="N14" s="260"/>
      <c r="P14" s="515">
        <f>SUM(C15,C22,C28)</f>
        <v>0</v>
      </c>
      <c r="Q14" s="516">
        <f>SUM(C16,C23,C29)</f>
        <v>0</v>
      </c>
      <c r="R14" s="517">
        <f>SUM(C17,C24,C30)</f>
        <v>0</v>
      </c>
      <c r="S14" s="1171" t="s">
        <v>318</v>
      </c>
      <c r="T14" s="1172"/>
      <c r="U14" s="1173"/>
    </row>
    <row r="15" spans="1:21" ht="15.75" thickTop="1" thickBot="1" x14ac:dyDescent="0.25">
      <c r="A15" s="291"/>
      <c r="B15" s="518" t="s">
        <v>517</v>
      </c>
      <c r="C15" s="880">
        <f>ROUND(IFERROR(C19*C18,0),3)</f>
        <v>0</v>
      </c>
      <c r="D15" s="844">
        <v>24.35</v>
      </c>
      <c r="E15" s="835">
        <f>ROUND(IFERROR(D15*(100%+$E$14),0),2)</f>
        <v>24.35</v>
      </c>
      <c r="F15" s="445"/>
      <c r="G15" s="907"/>
      <c r="H15" s="904"/>
      <c r="I15" s="904"/>
      <c r="J15" s="444"/>
      <c r="K15" s="260"/>
      <c r="M15" s="259"/>
      <c r="N15" s="260"/>
      <c r="P15" s="1033">
        <f>((E15*(100%+F14)+G12/'C1_Allgemeine Angaben'!M52*3/13/40)+(E15*$I$12))*(100%+$J$12)*(100%+$K$12)*40*13/3*12*C15</f>
        <v>0</v>
      </c>
      <c r="Q15" s="911">
        <f>((E16*(100%+F14)+G12/'C1_Allgemeine Angaben'!M52*3/13/40)+(E16*$I$12))*(100%+$J$12)*(100%+$K$12)*40*13/3*12*C16</f>
        <v>0</v>
      </c>
      <c r="R15" s="914">
        <f>(((E17*(100%+F14)+(G12/'C1_Allgemeine Angaben'!M52*3/13/40))+(E17*I12))*(100%+J12)*(100%+K12))*40*13/3*12*C17</f>
        <v>0</v>
      </c>
      <c r="S15" s="520" t="s">
        <v>446</v>
      </c>
      <c r="T15" s="520"/>
      <c r="U15" s="520"/>
    </row>
    <row r="16" spans="1:21" x14ac:dyDescent="0.2">
      <c r="A16" s="291"/>
      <c r="B16" s="521" t="s">
        <v>357</v>
      </c>
      <c r="C16" s="895"/>
      <c r="D16" s="845">
        <v>19.97</v>
      </c>
      <c r="E16" s="836">
        <f>ROUND(IFERROR(D16*(100%+$E$14),0),2)</f>
        <v>19.97</v>
      </c>
      <c r="F16" s="445"/>
      <c r="G16" s="444"/>
      <c r="H16" s="904"/>
      <c r="I16" s="905"/>
      <c r="J16" s="444"/>
      <c r="K16" s="260"/>
      <c r="M16" s="259"/>
      <c r="N16" s="260"/>
      <c r="P16" s="519">
        <f>(((E22*(100%+F21)+G12/'C1_Allgemeine Angaben'!$M$52*3/13/40)+(E22*$I$12))*(100%+$J$12)*(100%+$K$12))*40*13/3*12*C22</f>
        <v>0</v>
      </c>
      <c r="Q16" s="911">
        <f>(((E23*(100%+F21)+G12/'C1_Allgemeine Angaben'!M52*3/13/40)+(E23*$I$12))*(100%+$J$12)*(100%+$K$12))*40*13/3*12*C23</f>
        <v>0</v>
      </c>
      <c r="R16" s="914">
        <f>((E24*(100%+F21)+G12/'C1_Allgemeine Angaben'!M52*3/13/40)+(E24*I12))*(100%+J12)*(100%+K12)*40*13/3*12*C24</f>
        <v>0</v>
      </c>
      <c r="S16" s="520" t="s">
        <v>447</v>
      </c>
      <c r="T16" s="520"/>
      <c r="U16" s="520"/>
    </row>
    <row r="17" spans="1:21" ht="26.25" x14ac:dyDescent="0.2">
      <c r="A17" s="291"/>
      <c r="B17" s="522" t="s">
        <v>358</v>
      </c>
      <c r="C17" s="881">
        <f>C19-C15-C16</f>
        <v>0</v>
      </c>
      <c r="D17" s="846">
        <v>18.72</v>
      </c>
      <c r="E17" s="837">
        <f>ROUND(IFERROR(D17*(100%+$E$14),0),2)</f>
        <v>18.72</v>
      </c>
      <c r="F17" s="445"/>
      <c r="G17" s="905"/>
      <c r="H17" s="904"/>
      <c r="I17" s="904"/>
      <c r="J17" s="904"/>
      <c r="K17" s="260"/>
      <c r="M17" s="259"/>
      <c r="N17" s="260"/>
      <c r="P17" s="523">
        <f>(((E28*(100%+F27)+$G$12/'C1_Allgemeine Angaben'!$M$52*3/13/40)+(E28*$I$12))*(100%+$J$12)*(100%+$K$12))*40*13/3*12*C28</f>
        <v>0</v>
      </c>
      <c r="Q17" s="912">
        <f>(((E29*(100%+F27)+(G12/'C1_Allgemeine Angaben'!M52*3/13/40))+(E29*I12))*(100%+$J$12)*(100%+$K$12))*40*13/3*12*C29</f>
        <v>0</v>
      </c>
      <c r="R17" s="915">
        <f>((E30*(100%+F27)+G12/'C1_Allgemeine Angaben'!M52*3/13/40)+(E30*I12))*(100%+J12)*(100%+K12)*40*13/3*12*C30</f>
        <v>0</v>
      </c>
      <c r="S17" s="524" t="s">
        <v>448</v>
      </c>
      <c r="T17" s="524"/>
      <c r="U17" s="524"/>
    </row>
    <row r="18" spans="1:21" ht="15" thickBot="1" x14ac:dyDescent="0.25">
      <c r="A18" s="291"/>
      <c r="B18" s="525" t="s">
        <v>354</v>
      </c>
      <c r="C18" s="526">
        <f>IF(AND('C1_Allgemeine Angaben'!D7="vst",'C1_Kalkulation'!H28="FKQ Pflege - Vst. PE:"),'C1_Kalkulation'!I28,'C1_Kalkulation'!I26)</f>
        <v>0</v>
      </c>
      <c r="D18" s="896"/>
      <c r="E18" s="527"/>
      <c r="F18" s="527"/>
      <c r="G18" s="904"/>
      <c r="H18" s="904"/>
      <c r="I18" s="904"/>
      <c r="J18" s="904"/>
      <c r="K18" s="906"/>
      <c r="M18" s="259"/>
      <c r="N18" s="260"/>
      <c r="P18" s="528">
        <f>SUM(P15:P17)</f>
        <v>0</v>
      </c>
      <c r="Q18" s="913">
        <f>SUM(Q15:Q17)</f>
        <v>0</v>
      </c>
      <c r="R18" s="916">
        <f>SUM(R15:R17)</f>
        <v>0</v>
      </c>
      <c r="S18" s="1174" t="s">
        <v>449</v>
      </c>
      <c r="T18" s="1175"/>
      <c r="U18" s="1176"/>
    </row>
    <row r="19" spans="1:21" ht="16.5" thickTop="1" thickBot="1" x14ac:dyDescent="0.3">
      <c r="A19" s="291"/>
      <c r="B19" s="529" t="s">
        <v>355</v>
      </c>
      <c r="C19" s="882">
        <f>'C1_Kalkulation'!J26</f>
        <v>0</v>
      </c>
      <c r="D19" s="530"/>
      <c r="E19" s="838">
        <f>IF(C17&lt;0,"Fehler",IFERROR(ROUND((C15*E15+C16*E16+C17*E17)/C19,2),0))</f>
        <v>0</v>
      </c>
      <c r="F19" s="531">
        <f>ROUND(IFERROR(E19*(100%+$F$14),0),2)</f>
        <v>0</v>
      </c>
      <c r="G19" s="928">
        <f>IFERROR(IF(AND(E19="Fehler",'C1_Allgemeine Angaben'!M52=""),0,ROUND($G$12/'C1_Allgemeine Angaben'!$M$52*3/13/40,2)+F19),0)</f>
        <v>0</v>
      </c>
      <c r="H19" s="531">
        <f>ROUND(IFERROR(G19*40*13/3*12,0),2)</f>
        <v>0</v>
      </c>
      <c r="I19" s="531">
        <f>IFERROR((E19*40*13/3*12*$I$12)+H19,0)</f>
        <v>0</v>
      </c>
      <c r="J19" s="533">
        <f>I19*(100%+$J$12)</f>
        <v>0</v>
      </c>
      <c r="K19" s="534">
        <f>J19*(100%+$K$12)</f>
        <v>0</v>
      </c>
      <c r="M19" s="259"/>
      <c r="N19" s="260"/>
      <c r="O19" s="535"/>
      <c r="P19" s="1034" t="e">
        <f>P18/P14</f>
        <v>#DIV/0!</v>
      </c>
      <c r="Q19" s="536" t="e">
        <f t="shared" ref="Q19" si="0">Q18/Q14</f>
        <v>#DIV/0!</v>
      </c>
      <c r="R19" s="537" t="e">
        <f>R18/R14</f>
        <v>#DIV/0!</v>
      </c>
      <c r="S19" s="1177" t="s">
        <v>450</v>
      </c>
      <c r="T19" s="1178"/>
      <c r="U19" s="1179"/>
    </row>
    <row r="20" spans="1:21" ht="25.15" customHeight="1" thickTop="1" x14ac:dyDescent="0.25">
      <c r="A20" s="291"/>
      <c r="B20" s="538"/>
      <c r="C20" s="894"/>
      <c r="D20" s="899" t="str">
        <f>IF(C17&lt;0,"Bitte korrigieren Sie Ihre Angaben in Zelle C16","")</f>
        <v/>
      </c>
      <c r="E20" s="506">
        <f>IF(OR(E21&lt;0%,E21&gt;10.001%),"Fehler",0)</f>
        <v>0</v>
      </c>
      <c r="F20" s="539"/>
      <c r="G20" s="897"/>
      <c r="H20" s="444"/>
      <c r="I20" s="444"/>
      <c r="J20" s="444"/>
      <c r="K20" s="540"/>
      <c r="M20" s="259"/>
      <c r="N20" s="260"/>
      <c r="P20" s="499"/>
      <c r="Q20" s="499"/>
      <c r="R20" s="541"/>
      <c r="S20" s="499"/>
      <c r="T20" s="499"/>
      <c r="U20" s="499"/>
    </row>
    <row r="21" spans="1:21" ht="15.75" thickBot="1" x14ac:dyDescent="0.3">
      <c r="A21" s="291"/>
      <c r="B21" s="542" t="s">
        <v>139</v>
      </c>
      <c r="C21" s="543"/>
      <c r="D21" s="544"/>
      <c r="E21" s="448"/>
      <c r="F21" s="513">
        <f>IF('C1_Allgemeine Angaben'!D7="tst",KAT!C95,KAT!B95)</f>
        <v>3.6499999999999998E-2</v>
      </c>
      <c r="G21" s="898"/>
      <c r="H21" s="446"/>
      <c r="I21" s="446"/>
      <c r="J21" s="446"/>
      <c r="K21" s="545"/>
      <c r="M21" s="259"/>
      <c r="N21" s="260"/>
      <c r="P21" s="499"/>
      <c r="Q21" s="499"/>
      <c r="R21" s="541"/>
      <c r="S21" s="499"/>
      <c r="T21" s="499"/>
      <c r="U21" s="499"/>
    </row>
    <row r="22" spans="1:21" ht="15.75" thickTop="1" x14ac:dyDescent="0.25">
      <c r="A22" s="291"/>
      <c r="B22" s="546" t="s">
        <v>356</v>
      </c>
      <c r="C22" s="895"/>
      <c r="D22" s="847">
        <v>24.35</v>
      </c>
      <c r="E22" s="839">
        <f>ROUND(IFERROR(D22*(100%+$E$21),0),2)</f>
        <v>24.35</v>
      </c>
      <c r="F22" s="547"/>
      <c r="G22" s="907"/>
      <c r="H22" s="904"/>
      <c r="I22" s="444"/>
      <c r="J22" s="444"/>
      <c r="K22" s="548"/>
      <c r="M22" s="259"/>
      <c r="N22" s="260"/>
      <c r="P22" s="499"/>
      <c r="Q22" s="499"/>
      <c r="R22" s="549"/>
      <c r="S22" s="499"/>
      <c r="T22" s="499"/>
      <c r="U22" s="499"/>
    </row>
    <row r="23" spans="1:21" ht="15" x14ac:dyDescent="0.25">
      <c r="A23" s="291"/>
      <c r="B23" s="550" t="s">
        <v>357</v>
      </c>
      <c r="C23" s="895"/>
      <c r="D23" s="848">
        <v>19.97</v>
      </c>
      <c r="E23" s="839">
        <f>ROUND(IFERROR(D23*(100%+$E$21),0),2)</f>
        <v>19.97</v>
      </c>
      <c r="F23" s="547"/>
      <c r="G23" s="907"/>
      <c r="H23" s="904"/>
      <c r="I23" s="904"/>
      <c r="J23" s="904"/>
      <c r="K23" s="908"/>
      <c r="M23" s="259"/>
      <c r="N23" s="260"/>
      <c r="P23" s="499"/>
      <c r="Q23" s="499"/>
      <c r="R23" s="549"/>
      <c r="S23" s="499"/>
      <c r="T23" s="499"/>
      <c r="U23" s="499"/>
    </row>
    <row r="24" spans="1:21" ht="27" x14ac:dyDescent="0.25">
      <c r="A24" s="291"/>
      <c r="B24" s="551" t="s">
        <v>358</v>
      </c>
      <c r="C24" s="552">
        <f>C25-C22-C23</f>
        <v>0</v>
      </c>
      <c r="D24" s="849">
        <v>18.72</v>
      </c>
      <c r="E24" s="839">
        <f>ROUND(IFERROR(D24*(100%+$E$21),0),2)</f>
        <v>18.72</v>
      </c>
      <c r="F24" s="547"/>
      <c r="G24" s="904"/>
      <c r="H24" s="444"/>
      <c r="I24" s="444"/>
      <c r="J24" s="444"/>
      <c r="K24" s="553"/>
      <c r="M24" s="259"/>
      <c r="N24" s="260"/>
      <c r="P24" s="499"/>
      <c r="Q24" s="499"/>
      <c r="R24" s="499"/>
      <c r="S24" s="499"/>
      <c r="T24" s="499"/>
      <c r="U24" s="499"/>
    </row>
    <row r="25" spans="1:21" ht="15.75" thickBot="1" x14ac:dyDescent="0.3">
      <c r="A25" s="291"/>
      <c r="B25" s="554" t="s">
        <v>411</v>
      </c>
      <c r="C25" s="555">
        <f>'C1_Kalkulation'!J27</f>
        <v>0</v>
      </c>
      <c r="D25" s="556"/>
      <c r="E25" s="840">
        <f>IF(C24&lt;0,"Fehler",ROUND(IFERROR(((E24*C24+C23*E23+E22*C22)/C25),0),2))</f>
        <v>0</v>
      </c>
      <c r="F25" s="531">
        <f>ROUND(IFERROR(E25*(100%+$F$21),0),2)</f>
        <v>0</v>
      </c>
      <c r="G25" s="532">
        <f>IFERROR(IF(AND(E25="Fehler",'C1_Allgemeine Angaben'!M52=""),0,ROUND($G$12/'C1_Allgemeine Angaben'!$M$52*3/13/40,2)+F25),0)</f>
        <v>0</v>
      </c>
      <c r="H25" s="531">
        <f>ROUND(IFERROR(G25*40*13/3*12,0),2)</f>
        <v>0</v>
      </c>
      <c r="I25" s="531">
        <f>IFERROR((E25*40*13/3*12*$I$12)+H25,0)</f>
        <v>0</v>
      </c>
      <c r="J25" s="533">
        <f>I25*(100%+$J$12)</f>
        <v>0</v>
      </c>
      <c r="K25" s="557">
        <f>J25*(100%+$K$12)</f>
        <v>0</v>
      </c>
      <c r="M25" s="259"/>
      <c r="N25" s="260"/>
      <c r="P25" s="499"/>
      <c r="Q25" s="499"/>
      <c r="R25" s="499"/>
      <c r="S25" s="499"/>
      <c r="T25" s="499"/>
      <c r="U25" s="499"/>
    </row>
    <row r="26" spans="1:21" ht="25.15" customHeight="1" thickTop="1" x14ac:dyDescent="0.25">
      <c r="A26" s="291"/>
      <c r="B26" s="558"/>
      <c r="C26" s="559"/>
      <c r="D26" s="899" t="str">
        <f>IF(C24&lt;0,"Bitte korrigieren Sie Ihre Angaben in Zelle C21 u.o. C22","")</f>
        <v/>
      </c>
      <c r="E26" s="506">
        <f>IF(OR(E27&lt;0%,E27&gt;10.001%),"Fehler",0)</f>
        <v>0</v>
      </c>
      <c r="F26" s="444"/>
      <c r="G26" s="897"/>
      <c r="H26" s="444"/>
      <c r="I26" s="444"/>
      <c r="J26" s="444"/>
      <c r="K26" s="395"/>
      <c r="M26" s="259"/>
      <c r="N26" s="260"/>
      <c r="P26" s="560"/>
      <c r="Q26" s="561"/>
      <c r="R26" s="562"/>
      <c r="S26" s="499"/>
      <c r="T26" s="499"/>
      <c r="U26" s="499"/>
    </row>
    <row r="27" spans="1:21" ht="15" x14ac:dyDescent="0.25">
      <c r="A27" s="291"/>
      <c r="B27" s="563" t="s">
        <v>350</v>
      </c>
      <c r="C27" s="543"/>
      <c r="D27" s="564"/>
      <c r="E27" s="448"/>
      <c r="F27" s="513">
        <f>IF('C1_Allgemeine Angaben'!D7="tst",KAT!C96,KAT!B96)</f>
        <v>4.1500000000000002E-2</v>
      </c>
      <c r="G27" s="898"/>
      <c r="H27" s="446"/>
      <c r="I27" s="446"/>
      <c r="J27" s="446"/>
      <c r="K27" s="545"/>
      <c r="M27" s="259"/>
      <c r="N27" s="260"/>
      <c r="P27" s="560"/>
      <c r="Q27" s="561"/>
      <c r="R27" s="562"/>
      <c r="S27" s="499"/>
      <c r="T27" s="499"/>
      <c r="U27" s="499"/>
    </row>
    <row r="28" spans="1:21" ht="15" x14ac:dyDescent="0.25">
      <c r="A28" s="291"/>
      <c r="B28" s="546" t="s">
        <v>356</v>
      </c>
      <c r="C28" s="895"/>
      <c r="D28" s="847">
        <v>24.35</v>
      </c>
      <c r="E28" s="837">
        <f>ROUND(IFERROR(D28*(100%+$E$27),0),2)</f>
        <v>24.35</v>
      </c>
      <c r="F28" s="445"/>
      <c r="G28" s="444"/>
      <c r="H28" s="904"/>
      <c r="I28" s="444"/>
      <c r="J28" s="444"/>
      <c r="K28" s="548"/>
      <c r="M28" s="259"/>
      <c r="N28" s="260"/>
      <c r="P28" s="499"/>
      <c r="Q28" s="499"/>
      <c r="R28" s="499"/>
      <c r="S28" s="499"/>
      <c r="T28" s="499"/>
      <c r="U28" s="499"/>
    </row>
    <row r="29" spans="1:21" ht="15" x14ac:dyDescent="0.25">
      <c r="A29" s="291"/>
      <c r="B29" s="550" t="s">
        <v>357</v>
      </c>
      <c r="C29" s="895"/>
      <c r="D29" s="848">
        <v>19.97</v>
      </c>
      <c r="E29" s="841">
        <f>ROUND(IFERROR(D29*(100%+$E$27),0),2)</f>
        <v>19.97</v>
      </c>
      <c r="F29" s="445"/>
      <c r="G29" s="900"/>
      <c r="H29" s="905"/>
      <c r="I29" s="905"/>
      <c r="J29" s="905"/>
      <c r="K29" s="910"/>
      <c r="M29" s="259"/>
      <c r="N29" s="260"/>
      <c r="P29" s="499"/>
      <c r="Q29" s="499"/>
      <c r="R29" s="499"/>
      <c r="S29" s="499"/>
      <c r="T29" s="499"/>
      <c r="U29" s="499"/>
    </row>
    <row r="30" spans="1:21" ht="27" x14ac:dyDescent="0.25">
      <c r="A30" s="291"/>
      <c r="B30" s="551" t="s">
        <v>358</v>
      </c>
      <c r="C30" s="552">
        <f>C31-C28-C29</f>
        <v>0</v>
      </c>
      <c r="D30" s="849">
        <v>18.72</v>
      </c>
      <c r="E30" s="842">
        <f>ROUND(IFERROR(D30*(100%+$E$27),0),2)</f>
        <v>18.72</v>
      </c>
      <c r="F30" s="565"/>
      <c r="G30" s="909"/>
      <c r="H30" s="527"/>
      <c r="I30" s="527"/>
      <c r="J30" s="527"/>
      <c r="K30" s="553"/>
      <c r="M30" s="259"/>
      <c r="N30" s="260"/>
      <c r="P30" s="499"/>
      <c r="Q30" s="499"/>
      <c r="R30" s="499"/>
      <c r="S30" s="499"/>
      <c r="T30" s="499"/>
      <c r="U30" s="499"/>
    </row>
    <row r="31" spans="1:21" ht="15.75" thickBot="1" x14ac:dyDescent="0.3">
      <c r="A31" s="291"/>
      <c r="B31" s="554" t="s">
        <v>412</v>
      </c>
      <c r="C31" s="555">
        <f>IFERROR('C1_Kalkulation'!J34,0)</f>
        <v>0</v>
      </c>
      <c r="D31" s="566"/>
      <c r="E31" s="843">
        <f>IF(C30&lt;0,"Fehler",ROUND(IFERROR(((E30*C30+C29*E29+E28*C28)/C31),0),2))</f>
        <v>0</v>
      </c>
      <c r="F31" s="567">
        <f>ROUND(IFERROR(E31*(100%+$F$27),0),2)</f>
        <v>0</v>
      </c>
      <c r="G31" s="928">
        <f>IFERROR(IF(E31="Fehler",0,ROUND($G$12/'C1_Allgemeine Angaben'!$M$52*3/13/40,2)+F31),0)</f>
        <v>0</v>
      </c>
      <c r="H31" s="531">
        <f>ROUND(IFERROR(G31*40*13/3*12,0),2)</f>
        <v>0</v>
      </c>
      <c r="I31" s="531">
        <f>IFERROR((E31*40*13/3*12*$I$12)+H31,0)</f>
        <v>0</v>
      </c>
      <c r="J31" s="568">
        <f>I31*(100%+$J$12)</f>
        <v>0</v>
      </c>
      <c r="K31" s="569">
        <f>J31*(100%+$K$12)</f>
        <v>0</v>
      </c>
      <c r="M31" s="259"/>
      <c r="N31" s="260"/>
      <c r="P31" s="499"/>
      <c r="Q31" s="499"/>
      <c r="R31" s="499"/>
      <c r="S31" s="499"/>
      <c r="T31" s="499"/>
      <c r="U31" s="499"/>
    </row>
    <row r="32" spans="1:21" ht="25.15" customHeight="1" thickTop="1" x14ac:dyDescent="0.2">
      <c r="A32" s="291"/>
      <c r="B32" s="558"/>
      <c r="C32" s="559"/>
      <c r="D32" s="899" t="str">
        <f>IF(C30&lt;0,"Bitte korrigieren Sie Ihre Angaben in Zelle C27 u.o. C28","")</f>
        <v/>
      </c>
      <c r="E32" s="259"/>
      <c r="F32" s="259"/>
      <c r="G32" s="897"/>
      <c r="I32" s="259"/>
      <c r="J32" s="259"/>
      <c r="K32" s="259"/>
      <c r="L32" s="259"/>
      <c r="M32" s="259"/>
      <c r="N32" s="260"/>
      <c r="P32" s="499"/>
      <c r="Q32" s="499"/>
      <c r="R32" s="499"/>
      <c r="S32" s="499"/>
      <c r="T32" s="499"/>
      <c r="U32" s="499"/>
    </row>
    <row r="33" spans="1:21" x14ac:dyDescent="0.2">
      <c r="A33" s="291"/>
      <c r="B33" s="259"/>
      <c r="C33" s="259"/>
      <c r="D33" s="259"/>
      <c r="E33" s="259"/>
      <c r="F33" s="259"/>
      <c r="G33" s="575"/>
      <c r="I33" s="259"/>
      <c r="J33" s="259"/>
      <c r="K33" s="259"/>
      <c r="L33" s="259"/>
      <c r="M33" s="259"/>
      <c r="N33" s="260"/>
      <c r="P33" s="499"/>
      <c r="Q33" s="499"/>
      <c r="R33" s="499"/>
      <c r="S33" s="499"/>
      <c r="T33" s="499"/>
      <c r="U33" s="499"/>
    </row>
    <row r="34" spans="1:21" x14ac:dyDescent="0.2">
      <c r="A34" s="291"/>
      <c r="B34" s="570" t="s">
        <v>433</v>
      </c>
      <c r="C34" s="259"/>
      <c r="D34" s="259"/>
      <c r="E34" s="571"/>
      <c r="F34" s="259"/>
      <c r="G34" s="1022"/>
      <c r="I34" s="259"/>
      <c r="J34" s="259"/>
      <c r="K34" s="259"/>
      <c r="L34" s="259"/>
      <c r="M34" s="259"/>
      <c r="N34" s="260"/>
      <c r="P34" s="499"/>
      <c r="Q34" s="499"/>
      <c r="R34" s="499"/>
      <c r="S34" s="499"/>
      <c r="T34" s="499"/>
      <c r="U34" s="499"/>
    </row>
    <row r="35" spans="1:21" s="259" customFormat="1" ht="15" thickBot="1" x14ac:dyDescent="0.25">
      <c r="A35" s="291"/>
      <c r="B35" s="572"/>
      <c r="C35" s="420"/>
      <c r="D35" s="420"/>
      <c r="E35" s="420"/>
      <c r="F35" s="420"/>
      <c r="G35" s="420"/>
      <c r="H35" s="420"/>
      <c r="N35" s="260"/>
      <c r="P35" s="499"/>
      <c r="Q35" s="499"/>
      <c r="R35" s="499"/>
      <c r="S35" s="499"/>
      <c r="T35" s="499"/>
      <c r="U35" s="499"/>
    </row>
    <row r="36" spans="1:21" s="259" customFormat="1" x14ac:dyDescent="0.2">
      <c r="A36" s="291"/>
      <c r="B36" s="1189" t="s">
        <v>434</v>
      </c>
      <c r="C36" s="573" t="s">
        <v>432</v>
      </c>
      <c r="D36" s="573" t="s">
        <v>430</v>
      </c>
      <c r="E36" s="574" t="s">
        <v>431</v>
      </c>
      <c r="F36" s="420"/>
      <c r="G36" s="1197"/>
      <c r="I36" s="1023"/>
      <c r="K36" s="575"/>
      <c r="N36" s="260"/>
      <c r="P36" s="499"/>
      <c r="Q36" s="499"/>
      <c r="R36" s="499"/>
      <c r="S36" s="499"/>
      <c r="T36" s="499"/>
      <c r="U36" s="499"/>
    </row>
    <row r="37" spans="1:21" s="259" customFormat="1" ht="38.25" customHeight="1" thickBot="1" x14ac:dyDescent="0.25">
      <c r="A37" s="291"/>
      <c r="B37" s="1190"/>
      <c r="C37" s="576" t="s">
        <v>435</v>
      </c>
      <c r="D37" s="478" t="s">
        <v>436</v>
      </c>
      <c r="E37" s="1016" t="s">
        <v>643</v>
      </c>
      <c r="F37" s="420"/>
      <c r="G37" s="1197"/>
      <c r="I37" s="1024"/>
      <c r="J37" s="1024"/>
      <c r="K37" s="1024"/>
      <c r="N37" s="260"/>
      <c r="P37" s="499"/>
      <c r="Q37" s="499"/>
      <c r="R37" s="499"/>
      <c r="S37" s="499"/>
      <c r="T37" s="499"/>
      <c r="U37" s="499"/>
    </row>
    <row r="38" spans="1:21" s="259" customFormat="1" x14ac:dyDescent="0.2">
      <c r="A38" s="291"/>
      <c r="B38" s="572"/>
      <c r="C38" s="1191"/>
      <c r="D38" s="1191"/>
      <c r="E38" s="1191"/>
      <c r="F38" s="1191"/>
      <c r="G38" s="888"/>
      <c r="H38" s="1191"/>
      <c r="I38" s="1191"/>
      <c r="N38" s="260"/>
      <c r="P38" s="499"/>
      <c r="Q38" s="499"/>
      <c r="R38" s="499"/>
      <c r="S38" s="499"/>
      <c r="T38" s="499"/>
      <c r="U38" s="499"/>
    </row>
    <row r="39" spans="1:21" s="259" customFormat="1" x14ac:dyDescent="0.2">
      <c r="A39" s="592"/>
      <c r="B39" s="577" t="s">
        <v>438</v>
      </c>
      <c r="C39" s="872">
        <f>IFERROR(((E22*C22+E28*C28+C15*E15)*40*13/3)/SUM(C15,C22,C28),0)</f>
        <v>0</v>
      </c>
      <c r="D39" s="872">
        <f>IFERROR(((E23*C23+E29*C29+E16*C16)*40*13/3)/SUM(C16,C23,C29),0)</f>
        <v>0</v>
      </c>
      <c r="E39" s="872">
        <f>IFERROR(((C17*E17+E24*C24+E30*C30)*40*13/3)/SUM(C17,C24,C30),0)</f>
        <v>0</v>
      </c>
      <c r="F39" s="578"/>
      <c r="G39" s="1023"/>
      <c r="H39" s="1025"/>
      <c r="I39" s="1026"/>
      <c r="J39" s="1026"/>
      <c r="K39" s="1026"/>
      <c r="N39" s="260"/>
      <c r="P39" s="499"/>
      <c r="Q39" s="499"/>
      <c r="R39" s="499"/>
      <c r="S39" s="499"/>
      <c r="T39" s="499"/>
      <c r="U39" s="499"/>
    </row>
    <row r="40" spans="1:21" ht="15" thickBot="1" x14ac:dyDescent="0.25">
      <c r="A40" s="592"/>
      <c r="B40" s="579" t="s">
        <v>439</v>
      </c>
      <c r="C40" s="580">
        <f>40*13/3</f>
        <v>173.33333333333334</v>
      </c>
      <c r="D40" s="580">
        <f t="shared" ref="D40:E40" si="1">40*13/3</f>
        <v>173.33333333333334</v>
      </c>
      <c r="E40" s="580">
        <f t="shared" si="1"/>
        <v>173.33333333333334</v>
      </c>
      <c r="G40" s="1023"/>
      <c r="H40" s="1023"/>
      <c r="I40" s="1023"/>
      <c r="J40" s="1023"/>
      <c r="K40" s="1023"/>
      <c r="N40" s="19"/>
      <c r="P40" s="499"/>
      <c r="Q40" s="499"/>
      <c r="R40" s="499"/>
      <c r="S40" s="499"/>
      <c r="T40" s="499"/>
      <c r="U40" s="499"/>
    </row>
    <row r="41" spans="1:21" ht="51.75" customHeight="1" thickBot="1" x14ac:dyDescent="0.25">
      <c r="A41" s="20"/>
      <c r="B41" s="581" t="s">
        <v>451</v>
      </c>
      <c r="C41" s="582">
        <f>C39/C40</f>
        <v>0</v>
      </c>
      <c r="D41" s="583">
        <f t="shared" ref="D41:E41" si="2">D39/D40</f>
        <v>0</v>
      </c>
      <c r="E41" s="584">
        <f t="shared" si="2"/>
        <v>0</v>
      </c>
      <c r="G41" s="1198"/>
      <c r="H41" s="1198"/>
      <c r="I41" s="1026"/>
      <c r="J41" s="1026"/>
      <c r="K41" s="1026"/>
      <c r="N41" s="19"/>
      <c r="P41" s="499"/>
      <c r="Q41" s="499"/>
      <c r="R41" s="499"/>
      <c r="S41" s="499"/>
      <c r="T41" s="499"/>
      <c r="U41" s="499"/>
    </row>
    <row r="42" spans="1:21" x14ac:dyDescent="0.2">
      <c r="A42" s="20"/>
      <c r="G42" s="1023"/>
      <c r="H42" s="1023"/>
      <c r="I42" s="1023"/>
      <c r="J42" s="1023"/>
      <c r="K42" s="1023"/>
      <c r="N42" s="19"/>
      <c r="P42" s="499"/>
      <c r="Q42" s="499"/>
      <c r="R42" s="499"/>
      <c r="S42" s="499"/>
      <c r="T42" s="499"/>
      <c r="U42" s="499"/>
    </row>
    <row r="43" spans="1:21" x14ac:dyDescent="0.2">
      <c r="A43" s="20"/>
      <c r="B43" s="585" t="s">
        <v>318</v>
      </c>
      <c r="C43" s="586">
        <f>SUM(C28,C22,C15)-'C1_Kalkulation'!D25</f>
        <v>0</v>
      </c>
      <c r="D43" s="586">
        <f>SUM(C29,C23,C16)</f>
        <v>0</v>
      </c>
      <c r="E43" s="586">
        <f>SUM(C30,C17,C24)</f>
        <v>0</v>
      </c>
      <c r="G43" s="1023"/>
      <c r="H43" s="1023"/>
      <c r="I43" s="1026"/>
      <c r="J43" s="1026"/>
      <c r="K43" s="1026"/>
      <c r="N43" s="19"/>
      <c r="P43" s="499"/>
      <c r="Q43" s="499"/>
      <c r="R43" s="499"/>
      <c r="S43" s="499"/>
      <c r="T43" s="499"/>
      <c r="U43" s="499"/>
    </row>
    <row r="44" spans="1:21" ht="15" thickBot="1" x14ac:dyDescent="0.25">
      <c r="A44" s="20"/>
      <c r="B44" s="579" t="s">
        <v>440</v>
      </c>
      <c r="C44" s="1185">
        <f>IFERROR(SUM(C43:E43),0)</f>
        <v>0</v>
      </c>
      <c r="D44" s="1185"/>
      <c r="E44" s="1185"/>
      <c r="I44" s="535"/>
      <c r="N44" s="19"/>
      <c r="P44" s="499"/>
      <c r="Q44" s="499"/>
      <c r="R44" s="499"/>
      <c r="S44" s="499"/>
      <c r="T44" s="499"/>
      <c r="U44" s="499"/>
    </row>
    <row r="45" spans="1:21" ht="15" thickBot="1" x14ac:dyDescent="0.25">
      <c r="A45" s="20"/>
      <c r="B45" s="587" t="s">
        <v>441</v>
      </c>
      <c r="C45" s="588">
        <f>IFERROR(C43/C44,0)</f>
        <v>0</v>
      </c>
      <c r="D45" s="589">
        <f>IFERROR(D43/C44,0)</f>
        <v>0</v>
      </c>
      <c r="E45" s="590">
        <f>IFERROR(E43/C44,0)</f>
        <v>0</v>
      </c>
      <c r="N45" s="19"/>
      <c r="P45" s="499"/>
      <c r="Q45" s="499"/>
      <c r="R45" s="499"/>
      <c r="S45" s="499"/>
      <c r="T45" s="499"/>
      <c r="U45" s="499"/>
    </row>
    <row r="46" spans="1:21" ht="15" thickBot="1" x14ac:dyDescent="0.25">
      <c r="A46" s="20"/>
      <c r="N46" s="19"/>
      <c r="P46" s="499"/>
      <c r="Q46" s="499"/>
      <c r="R46" s="499"/>
      <c r="S46" s="499"/>
      <c r="T46" s="499"/>
      <c r="U46" s="499"/>
    </row>
    <row r="47" spans="1:21" ht="15.75" thickBot="1" x14ac:dyDescent="0.3">
      <c r="A47" s="20"/>
      <c r="B47" s="477" t="s">
        <v>442</v>
      </c>
      <c r="C47" s="1186">
        <f>IFERROR(C45*C41+D41*D45+E41*E45,0)</f>
        <v>0</v>
      </c>
      <c r="D47" s="1187"/>
      <c r="E47" s="1188"/>
      <c r="N47" s="19"/>
    </row>
    <row r="48" spans="1:21" ht="15.75" thickBot="1" x14ac:dyDescent="0.3">
      <c r="A48" s="20"/>
      <c r="B48" s="903" t="s">
        <v>518</v>
      </c>
      <c r="C48" s="1192">
        <f>IFERROR(ROUND(G12/'C1_Allgemeine Angaben'!M52*3/13/40+C47,2),0)</f>
        <v>0</v>
      </c>
      <c r="D48" s="1193"/>
      <c r="E48" s="1194"/>
      <c r="F48" s="917" t="str">
        <f>IF(C48&gt;21.55*110%,"Forderung liegt über 10% des regional üblichen Entgeltes.","")</f>
        <v/>
      </c>
      <c r="N48" s="593"/>
    </row>
    <row r="49" spans="1:14" x14ac:dyDescent="0.2">
      <c r="A49" s="183"/>
      <c r="B49" s="901" t="s">
        <v>443</v>
      </c>
      <c r="C49" s="902">
        <f>IFERROR(P19,0)</f>
        <v>0</v>
      </c>
      <c r="D49" s="902">
        <f>IFERROR(Q19,0)</f>
        <v>0</v>
      </c>
      <c r="E49" s="902">
        <f>IFERROR(R19,0)</f>
        <v>0</v>
      </c>
      <c r="F49" s="183"/>
      <c r="G49" s="89"/>
      <c r="H49" s="283"/>
      <c r="I49" s="89"/>
      <c r="J49" s="89"/>
      <c r="K49" s="89"/>
      <c r="L49" s="89"/>
      <c r="M49" s="89"/>
      <c r="N49" s="591"/>
    </row>
    <row r="50" spans="1:14" ht="15" thickBot="1" x14ac:dyDescent="0.25"/>
    <row r="51" spans="1:14" ht="15" customHeight="1" thickBot="1" x14ac:dyDescent="0.25">
      <c r="D51" s="1123" t="s">
        <v>452</v>
      </c>
      <c r="E51" s="1124"/>
      <c r="F51" s="1124"/>
      <c r="G51" s="1124"/>
      <c r="H51" s="1124"/>
      <c r="I51" s="1124"/>
      <c r="J51" s="1124"/>
      <c r="K51" s="1125"/>
    </row>
  </sheetData>
  <sheetProtection algorithmName="SHA-512" hashValue="CeBVZB7t3HWQOZ5MclgMlyD/p/fE+LNpWmNqPYgYPHhRCByz0zwXKjGJsbmOyiWFMjpK/iVS1j3WnHzJlmeHyg==" saltValue="AyBN+PNCbzJUK6jkH35Xyw==" spinCount="100000" sheet="1" objects="1" scenarios="1"/>
  <mergeCells count="20">
    <mergeCell ref="D51:K51"/>
    <mergeCell ref="C44:E44"/>
    <mergeCell ref="C47:E47"/>
    <mergeCell ref="B36:B37"/>
    <mergeCell ref="B11:B12"/>
    <mergeCell ref="C38:D38"/>
    <mergeCell ref="E38:F38"/>
    <mergeCell ref="H38:I38"/>
    <mergeCell ref="C48:E48"/>
    <mergeCell ref="H11:H12"/>
    <mergeCell ref="G36:G37"/>
    <mergeCell ref="G41:H41"/>
    <mergeCell ref="A1:N1"/>
    <mergeCell ref="P11:R11"/>
    <mergeCell ref="S14:U14"/>
    <mergeCell ref="S18:U18"/>
    <mergeCell ref="S19:U19"/>
    <mergeCell ref="C11:C12"/>
    <mergeCell ref="B2:N2"/>
    <mergeCell ref="B6:F6"/>
  </mergeCells>
  <conditionalFormatting sqref="C17">
    <cfRule type="expression" dxfId="59" priority="14">
      <formula>$C$17&lt;0</formula>
    </cfRule>
  </conditionalFormatting>
  <conditionalFormatting sqref="C24">
    <cfRule type="expression" dxfId="58" priority="13">
      <formula>$C$24&lt;0</formula>
    </cfRule>
  </conditionalFormatting>
  <conditionalFormatting sqref="C30">
    <cfRule type="expression" dxfId="57" priority="10">
      <formula>$C$30&lt;0</formula>
    </cfRule>
  </conditionalFormatting>
  <conditionalFormatting sqref="E13">
    <cfRule type="cellIs" dxfId="55" priority="25" operator="equal">
      <formula>0</formula>
    </cfRule>
  </conditionalFormatting>
  <conditionalFormatting sqref="E20">
    <cfRule type="cellIs" dxfId="54" priority="22" operator="equal">
      <formula>0</formula>
    </cfRule>
  </conditionalFormatting>
  <conditionalFormatting sqref="E26">
    <cfRule type="cellIs" dxfId="53" priority="21" operator="equal">
      <formula>0</formula>
    </cfRule>
  </conditionalFormatting>
  <dataValidations xWindow="1133" yWindow="475" count="3">
    <dataValidation type="custom" allowBlank="1" showInputMessage="1" showErrorMessage="1" sqref="E13 E20 E26 E32" xr:uid="{00000000-0002-0000-0300-000000000000}">
      <formula1>E13&lt;10.0001%</formula1>
    </dataValidation>
    <dataValidation type="custom" allowBlank="1" showInputMessage="1" showErrorMessage="1" sqref="E27 E21 E14" xr:uid="{00000000-0002-0000-0300-000001000000}">
      <formula1>E14&lt;10.001%</formula1>
    </dataValidation>
    <dataValidation allowBlank="1" showInputMessage="1" showErrorMessage="1" promptTitle="Bitte nur eintragen," prompt="sofern in aktueller Vereinbarung die Inflatiosnausgleichsprämie mit berücksichtigt wurde." sqref="G12" xr:uid="{00000000-0002-0000-0300-000002000000}"/>
  </dataValidations>
  <hyperlinks>
    <hyperlink ref="D51" location="'Anlage 1'!A1" display="Anlage 1" xr:uid="{00000000-0004-0000-0300-000000000000}"/>
    <hyperlink ref="D51:K51" location="'C1_Gesamtkalkulation'!Druckbereich" display="gehe weiter zu C1_Gesamtkalkulation" xr:uid="{00000000-0004-0000-0300-000001000000}"/>
  </hyperlinks>
  <pageMargins left="0.70866141732283472" right="0.70866141732283472" top="0.78740157480314965" bottom="0.78740157480314965" header="0.31496062992125984" footer="0.31496062992125984"/>
  <pageSetup paperSize="9" scale="52" orientation="landscape"/>
  <headerFooter>
    <oddFooter>&amp;LVersion: 21.11.2024&amp;CVerhandlungsunterlagen SGB XI (vereinfacht C1)&amp;RPSK-Beschluss vom 07.11.2024</oddFooter>
  </headerFooter>
  <extLst>
    <ext xmlns:x14="http://schemas.microsoft.com/office/spreadsheetml/2009/9/main" uri="{78C0D931-6437-407d-A8EE-F0AAD7539E65}">
      <x14:conditionalFormattings>
        <x14:conditionalFormatting xmlns:xm="http://schemas.microsoft.com/office/excel/2006/main">
          <x14:cfRule type="expression" priority="2" id="{719BFBD5-3865-40A2-96D0-B8432514684C}">
            <xm:f>KAT!$B$10=1</xm:f>
            <x14:dxf>
              <font>
                <color theme="0"/>
              </font>
              <fill>
                <patternFill>
                  <bgColor theme="0"/>
                </patternFill>
              </fill>
              <border>
                <left/>
                <right/>
                <top/>
                <bottom/>
                <vertical/>
                <horizontal/>
              </border>
            </x14:dxf>
          </x14:cfRule>
          <xm:sqref>A1:N52</xm:sqref>
        </x14:conditionalFormatting>
        <x14:conditionalFormatting xmlns:xm="http://schemas.microsoft.com/office/excel/2006/main">
          <x14:cfRule type="expression" priority="4" id="{5D04CBF4-0731-4C88-A33C-1A5721E73420}">
            <xm:f>KAT!$K$5=1</xm:f>
            <x14:dxf>
              <font>
                <color theme="0"/>
              </font>
              <fill>
                <patternFill>
                  <bgColor theme="0" tint="-0.14996795556505021"/>
                </patternFill>
              </fill>
              <border>
                <left/>
                <right/>
                <top/>
                <bottom/>
                <vertical/>
                <horizontal/>
              </border>
            </x14:dxf>
          </x14:cfRule>
          <xm:sqref>B6:F9</xm:sqref>
        </x14:conditionalFormatting>
        <x14:conditionalFormatting xmlns:xm="http://schemas.microsoft.com/office/excel/2006/main">
          <x14:cfRule type="expression" priority="1" id="{514EF3FB-B6A3-4B20-9014-D9347D5B0E58}">
            <xm:f>(KAT!$A$113="nein")</xm:f>
            <x14:dxf>
              <fill>
                <patternFill>
                  <bgColor theme="0"/>
                </patternFill>
              </fill>
            </x14:dxf>
          </x14:cfRule>
          <xm:sqref>E13 D20:E20 D26:E26 D32 F48</xm:sqref>
        </x14:conditionalFormatting>
      </x14:conditionalFormattings>
    </ext>
    <ext xmlns:x14="http://schemas.microsoft.com/office/spreadsheetml/2009/9/main" uri="{CCE6A557-97BC-4b89-ADB6-D9C93CAAB3DF}">
      <x14:dataValidations xmlns:xm="http://schemas.microsoft.com/office/excel/2006/main" xWindow="1133" yWindow="475" count="2">
        <x14:dataValidation type="list" allowBlank="1" showInputMessage="1" showErrorMessage="1" prompt="SV Beitrag ohne U1 Teilnahme = 20,335%_x000a_SV Beitrag mit U1 Teilnahme = 21,105 % " xr:uid="{00000000-0002-0000-0300-000003000000}">
          <x14:formula1>
            <xm:f>KAT!#REF!</xm:f>
          </x14:formula1>
          <xm:sqref>I13</xm:sqref>
        </x14:dataValidation>
        <x14:dataValidation type="list" allowBlank="1" showInputMessage="1" showErrorMessage="1" prompt="SV Beitrag ohne U1 Teilnahme = 20,850 %_x000a_SV Beitrag mit U1 Teilnahme = 23,000 %" xr:uid="{00000000-0002-0000-0300-000004000000}">
          <x14:formula1>
            <xm:f>KAT!$C$108:$C$109</xm:f>
          </x14:formula1>
          <xm:sqref>I12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1"/>
  <sheetViews>
    <sheetView showGridLines="0" showWhiteSpace="0" zoomScaleNormal="100" zoomScalePageLayoutView="70" workbookViewId="0">
      <selection sqref="A1:N1"/>
    </sheetView>
  </sheetViews>
  <sheetFormatPr baseColWidth="10" defaultColWidth="11" defaultRowHeight="14.25" x14ac:dyDescent="0.2"/>
  <cols>
    <col min="1" max="1" width="3.875" customWidth="1"/>
    <col min="2" max="2" width="46.25" customWidth="1"/>
    <col min="3" max="3" width="15.625" customWidth="1"/>
    <col min="4" max="4" width="21.5" customWidth="1"/>
    <col min="5" max="5" width="18" customWidth="1"/>
    <col min="6" max="6" width="15.625" customWidth="1"/>
    <col min="7" max="7" width="21.625" customWidth="1"/>
    <col min="8" max="8" width="17.5" style="259" customWidth="1"/>
    <col min="9" max="9" width="12.625" customWidth="1"/>
    <col min="10" max="10" width="14.25" customWidth="1"/>
    <col min="11" max="11" width="12.75" customWidth="1"/>
    <col min="12" max="12" width="11.625" customWidth="1"/>
    <col min="13" max="14" width="11" customWidth="1"/>
    <col min="15" max="15" width="5.625" customWidth="1"/>
    <col min="16" max="16" width="12.875" hidden="1" customWidth="1"/>
    <col min="17" max="17" width="15.375" hidden="1" customWidth="1"/>
    <col min="18" max="18" width="13.875" hidden="1" customWidth="1"/>
    <col min="19" max="20" width="0" hidden="1" customWidth="1"/>
    <col min="21" max="21" width="14.75" hidden="1" customWidth="1"/>
  </cols>
  <sheetData>
    <row r="1" spans="1:21" ht="27.75" customHeight="1" x14ac:dyDescent="0.25">
      <c r="A1" s="1167" t="str">
        <f>'C1_Allgemeine Angaben'!A1:A1</f>
        <v>Vereinfachtes Antragsverfahren für tarifungebundene Einrichtungen mit laufender Vereinbarung über den 31. Dezember 2024 im Rahmen § 72 Abs. 3b Satz 7 in Verbindung mit der Veröffentlichung nach § 82c Abs. 5 SGB XI (Stand 31.10.2024)</v>
      </c>
      <c r="B1" s="1168"/>
      <c r="C1" s="1168"/>
      <c r="D1" s="1168"/>
      <c r="E1" s="1168"/>
      <c r="F1" s="1168"/>
      <c r="G1" s="1168"/>
      <c r="H1" s="1168"/>
      <c r="I1" s="1168"/>
      <c r="J1" s="1168"/>
      <c r="K1" s="1168"/>
      <c r="L1" s="1168"/>
      <c r="M1" s="1168"/>
      <c r="N1" s="1169"/>
      <c r="P1" s="832" t="s">
        <v>455</v>
      </c>
      <c r="Q1" s="487"/>
      <c r="R1" s="487"/>
    </row>
    <row r="2" spans="1:21" ht="15" x14ac:dyDescent="0.25">
      <c r="A2" s="488"/>
      <c r="B2" s="1182" t="s">
        <v>394</v>
      </c>
      <c r="C2" s="1182"/>
      <c r="D2" s="1182"/>
      <c r="E2" s="1182"/>
      <c r="F2" s="1182"/>
      <c r="G2" s="1182"/>
      <c r="H2" s="1182"/>
      <c r="I2" s="1182"/>
      <c r="J2" s="1182"/>
      <c r="K2" s="1182"/>
      <c r="L2" s="1182"/>
      <c r="M2" s="1182"/>
      <c r="N2" s="1183"/>
      <c r="P2" s="487"/>
      <c r="Q2" s="487"/>
      <c r="R2" s="487"/>
    </row>
    <row r="3" spans="1:21" x14ac:dyDescent="0.2">
      <c r="A3" s="488"/>
      <c r="B3" s="489">
        <f>'C1_Allgemeine Angaben'!D12:D12</f>
        <v>0</v>
      </c>
      <c r="C3" s="490"/>
      <c r="D3" s="490"/>
      <c r="E3" s="490"/>
      <c r="F3" s="490"/>
      <c r="G3" s="490"/>
      <c r="H3" s="490"/>
      <c r="I3" s="490"/>
      <c r="J3" s="490"/>
      <c r="K3" s="491" t="str">
        <f>'C1_Kalkulation'!N3</f>
        <v>Institutionskennzeichen:</v>
      </c>
      <c r="L3" s="492"/>
      <c r="M3" s="493">
        <f>'C1_Allgemeine Angaben'!L6:L6</f>
        <v>0</v>
      </c>
      <c r="N3" s="494"/>
      <c r="P3" s="487"/>
      <c r="Q3" s="487"/>
      <c r="R3" s="487"/>
    </row>
    <row r="4" spans="1:21" x14ac:dyDescent="0.2">
      <c r="A4" s="488"/>
      <c r="B4" s="495">
        <f>'C1_Allgemeine Angaben'!D16:D16</f>
        <v>0</v>
      </c>
      <c r="C4" s="490"/>
      <c r="D4" s="490"/>
      <c r="E4" s="490"/>
      <c r="F4" s="490"/>
      <c r="G4" s="490"/>
      <c r="H4" s="490"/>
      <c r="I4" s="490"/>
      <c r="J4" s="490"/>
      <c r="K4" s="496" t="str">
        <f>'C1_Kalkulation'!N4</f>
        <v>Antrag vom:</v>
      </c>
      <c r="L4" s="497"/>
      <c r="M4" s="498">
        <f>'C1_Allgemeine Angaben'!L4:L4</f>
        <v>0</v>
      </c>
      <c r="N4" s="494"/>
      <c r="P4" s="487"/>
      <c r="Q4" s="487"/>
      <c r="R4" s="487"/>
      <c r="S4" s="499"/>
      <c r="T4" s="499"/>
      <c r="U4" s="499"/>
    </row>
    <row r="5" spans="1:21" x14ac:dyDescent="0.2">
      <c r="A5" s="291"/>
      <c r="B5" s="259"/>
      <c r="C5" s="259"/>
      <c r="D5" s="259"/>
      <c r="E5" s="259"/>
      <c r="F5" s="259"/>
      <c r="G5" s="259"/>
      <c r="I5" s="259"/>
      <c r="J5" s="259"/>
      <c r="K5" s="259"/>
      <c r="L5" s="259"/>
      <c r="M5" s="259"/>
      <c r="N5" s="260"/>
      <c r="P5" s="487"/>
      <c r="Q5" s="487"/>
      <c r="R5" s="487"/>
      <c r="S5" s="499"/>
      <c r="T5" s="499"/>
      <c r="U5" s="499"/>
    </row>
    <row r="6" spans="1:21" x14ac:dyDescent="0.2">
      <c r="A6" s="291"/>
      <c r="B6" s="1199" t="s">
        <v>584</v>
      </c>
      <c r="C6" s="1200"/>
      <c r="D6" s="1200"/>
      <c r="E6" s="1200"/>
      <c r="F6" s="1200"/>
      <c r="G6" s="1200"/>
      <c r="I6" s="259"/>
      <c r="J6" s="259"/>
      <c r="K6" s="259"/>
      <c r="L6" s="259"/>
      <c r="M6" s="259"/>
      <c r="N6" s="260"/>
      <c r="P6" s="487"/>
      <c r="Q6" s="487"/>
      <c r="R6" s="487"/>
      <c r="S6" s="499"/>
      <c r="T6" s="499"/>
      <c r="U6" s="499"/>
    </row>
    <row r="7" spans="1:21" ht="51.75" customHeight="1" x14ac:dyDescent="0.2">
      <c r="A7" s="291"/>
      <c r="B7" s="934" t="s">
        <v>515</v>
      </c>
      <c r="C7" s="1052" t="s">
        <v>719</v>
      </c>
      <c r="D7" s="893" t="s">
        <v>430</v>
      </c>
      <c r="E7" s="893" t="s">
        <v>431</v>
      </c>
      <c r="F7" s="893" t="s">
        <v>328</v>
      </c>
      <c r="G7" s="1041" t="s">
        <v>662</v>
      </c>
      <c r="H7" s="1035"/>
      <c r="I7" s="259"/>
      <c r="J7" s="259"/>
      <c r="K7" s="259"/>
      <c r="L7" s="259"/>
      <c r="M7" s="259"/>
      <c r="N7" s="260"/>
      <c r="P7" s="487"/>
      <c r="Q7" s="487"/>
      <c r="R7" s="487"/>
      <c r="S7" s="499"/>
      <c r="T7" s="499"/>
      <c r="U7" s="499"/>
    </row>
    <row r="8" spans="1:21" x14ac:dyDescent="0.2">
      <c r="A8" s="291"/>
      <c r="B8" s="1038" t="s">
        <v>663</v>
      </c>
      <c r="C8" s="1060"/>
      <c r="D8" s="1060"/>
      <c r="E8" s="1060"/>
      <c r="F8" s="351">
        <f>IFERROR(SUM(C8:E8),"")</f>
        <v>0</v>
      </c>
      <c r="G8" s="1043">
        <f>'C1_Kalkulation'!I28</f>
        <v>0</v>
      </c>
      <c r="I8" s="259"/>
      <c r="J8" s="259"/>
      <c r="K8" s="259"/>
      <c r="L8" s="259"/>
      <c r="M8" s="259"/>
      <c r="N8" s="260"/>
      <c r="P8" s="487"/>
      <c r="Q8" s="487"/>
      <c r="R8" s="487"/>
      <c r="S8" s="499"/>
      <c r="T8" s="499"/>
      <c r="U8" s="499"/>
    </row>
    <row r="9" spans="1:21" x14ac:dyDescent="0.2">
      <c r="A9" s="291"/>
      <c r="B9" s="935" t="str">
        <f>IF(AND('C1_Allgemeine Angaben'!H52&gt;DATE(2023,6,30),F8&gt;0),"Plausibilitätsprüfung","")</f>
        <v/>
      </c>
      <c r="C9" s="1058" t="str">
        <f>IF(B9="","",C15-'C1_Kalkulation'!J25+'C1_Berechnung 2'!C22)</f>
        <v/>
      </c>
      <c r="D9" s="1058" t="str">
        <f>IF(B9="","",C16+C23)</f>
        <v/>
      </c>
      <c r="E9" s="1058" t="str">
        <f>IF(B9="","",C17+C24)</f>
        <v/>
      </c>
      <c r="F9" s="1061" t="str">
        <f>IF(B9="","",SUM(C9:E9))</f>
        <v/>
      </c>
      <c r="G9" s="1048">
        <f>IFERROR((C15+C22-'C1_Kalkulation'!D25)/KAT!N14,0)</f>
        <v>0</v>
      </c>
      <c r="H9" s="1040" t="str">
        <f>IF(OR(G9&lt;'C1_Kalkulation'!C28*99.95%,G9&gt;'C1_Kalkulation'!C28*100.05%),"Bitte im TAB erfasste VK-Werte für die PFK/BFK prüfen","")</f>
        <v/>
      </c>
      <c r="I9" s="259"/>
      <c r="J9" s="259"/>
      <c r="K9" s="259"/>
      <c r="L9" s="259"/>
      <c r="M9" s="259"/>
      <c r="N9" s="260"/>
      <c r="P9" s="487"/>
      <c r="Q9" s="487"/>
      <c r="R9" s="487"/>
      <c r="S9" s="499"/>
      <c r="T9" s="499"/>
      <c r="U9" s="499"/>
    </row>
    <row r="10" spans="1:21" x14ac:dyDescent="0.2">
      <c r="A10" s="291"/>
      <c r="B10" s="259"/>
      <c r="C10" s="259"/>
      <c r="D10" s="259"/>
      <c r="E10" s="259"/>
      <c r="F10" s="259"/>
      <c r="G10" s="259"/>
      <c r="I10" s="259"/>
      <c r="J10" s="259"/>
      <c r="K10" s="259"/>
      <c r="L10" s="259"/>
      <c r="M10" s="259"/>
      <c r="N10" s="260"/>
      <c r="P10" s="973">
        <f>IF(G12=0,1,2)</f>
        <v>1</v>
      </c>
      <c r="Q10" s="974" t="s">
        <v>520</v>
      </c>
      <c r="R10" s="974"/>
      <c r="S10" s="975"/>
      <c r="T10" s="499"/>
      <c r="U10" s="499"/>
    </row>
    <row r="11" spans="1:21" ht="57.6" customHeight="1" x14ac:dyDescent="0.2">
      <c r="A11" s="291"/>
      <c r="B11" s="1180" t="s">
        <v>346</v>
      </c>
      <c r="C11" s="1180" t="s">
        <v>318</v>
      </c>
      <c r="D11" s="500" t="s">
        <v>347</v>
      </c>
      <c r="E11" s="929" t="s">
        <v>348</v>
      </c>
      <c r="F11" s="501" t="s">
        <v>349</v>
      </c>
      <c r="G11" s="502" t="s">
        <v>519</v>
      </c>
      <c r="H11" s="1195" t="s">
        <v>547</v>
      </c>
      <c r="I11" s="502" t="s">
        <v>376</v>
      </c>
      <c r="J11" s="502" t="s">
        <v>377</v>
      </c>
      <c r="K11" s="502" t="s">
        <v>410</v>
      </c>
      <c r="M11" s="259"/>
      <c r="N11" s="260"/>
      <c r="P11" s="1170" t="s">
        <v>444</v>
      </c>
      <c r="Q11" s="1170"/>
      <c r="R11" s="1170"/>
      <c r="S11" s="499"/>
      <c r="T11" s="499"/>
      <c r="U11" s="499"/>
    </row>
    <row r="12" spans="1:21" x14ac:dyDescent="0.2">
      <c r="A12" s="291"/>
      <c r="B12" s="1181"/>
      <c r="C12" s="1181"/>
      <c r="D12" s="503"/>
      <c r="E12" s="930"/>
      <c r="F12" s="259"/>
      <c r="G12" s="933"/>
      <c r="H12" s="1196"/>
      <c r="I12" s="486"/>
      <c r="J12" s="504">
        <v>0.02</v>
      </c>
      <c r="K12" s="504">
        <v>0.02</v>
      </c>
      <c r="M12" s="259"/>
      <c r="N12" s="260"/>
      <c r="P12" s="487"/>
      <c r="Q12" s="487"/>
      <c r="R12" s="487"/>
      <c r="S12" s="499"/>
      <c r="T12" s="499"/>
      <c r="U12" s="499"/>
    </row>
    <row r="13" spans="1:21" x14ac:dyDescent="0.2">
      <c r="A13" s="291"/>
      <c r="B13" s="505"/>
      <c r="C13" s="505"/>
      <c r="D13" s="259"/>
      <c r="E13" s="506">
        <f>IF(OR(E14&lt;0%,E14&gt;10.001%),"Fehler",0)</f>
        <v>0</v>
      </c>
      <c r="F13" s="507"/>
      <c r="G13" s="571"/>
      <c r="I13" s="508"/>
      <c r="J13" s="410"/>
      <c r="K13" s="509"/>
      <c r="M13" s="259"/>
      <c r="N13" s="260"/>
      <c r="P13" s="480" t="s">
        <v>432</v>
      </c>
      <c r="Q13" s="481" t="s">
        <v>430</v>
      </c>
      <c r="R13" s="482" t="s">
        <v>431</v>
      </c>
      <c r="S13" s="510" t="s">
        <v>445</v>
      </c>
      <c r="T13" s="510"/>
      <c r="U13" s="510"/>
    </row>
    <row r="14" spans="1:21" ht="15.75" thickBot="1" x14ac:dyDescent="0.3">
      <c r="A14" s="291"/>
      <c r="B14" s="511" t="s">
        <v>372</v>
      </c>
      <c r="C14" s="512"/>
      <c r="D14" s="233"/>
      <c r="E14" s="448"/>
      <c r="F14" s="513">
        <f>IF('C1_Allgemeine Angaben'!D7="tst",KAT!C94,KAT!B94)</f>
        <v>8.5000000000000006E-2</v>
      </c>
      <c r="G14" s="447"/>
      <c r="H14" s="447"/>
      <c r="I14" s="447"/>
      <c r="J14" s="447"/>
      <c r="K14" s="514"/>
      <c r="M14" s="259"/>
      <c r="N14" s="260"/>
      <c r="P14" s="515">
        <f>SUM(C15,C22,C28)</f>
        <v>0</v>
      </c>
      <c r="Q14" s="516">
        <f>SUM(C16,C23,C29)</f>
        <v>0</v>
      </c>
      <c r="R14" s="517">
        <f>SUM(C17,C24,C30)</f>
        <v>0</v>
      </c>
      <c r="S14" s="1171" t="s">
        <v>318</v>
      </c>
      <c r="T14" s="1172"/>
      <c r="U14" s="1173"/>
    </row>
    <row r="15" spans="1:21" ht="15.75" thickTop="1" thickBot="1" x14ac:dyDescent="0.25">
      <c r="A15" s="291"/>
      <c r="B15" s="518" t="s">
        <v>517</v>
      </c>
      <c r="C15" s="1056"/>
      <c r="D15" s="844">
        <v>24.35</v>
      </c>
      <c r="E15" s="835">
        <f>ROUND(IFERROR(D15*(100%+$E$14),0),2)</f>
        <v>24.35</v>
      </c>
      <c r="F15" s="445"/>
      <c r="G15" s="907"/>
      <c r="H15" s="904"/>
      <c r="I15" s="904"/>
      <c r="J15" s="444"/>
      <c r="K15" s="260"/>
      <c r="M15" s="259"/>
      <c r="N15" s="260"/>
      <c r="P15" s="519">
        <f>((E15*(100%+F14)+G12/'C1_Allgemeine Angaben'!M52*3/13/40)+(E15*$I$12))*(100%+$J$12)*(100%+$K$12)*40*13/3*12*C15</f>
        <v>0</v>
      </c>
      <c r="Q15" s="911">
        <f>((E16*(100%+F14)+G12/'C1_Allgemeine Angaben'!M52*3/13/40)+(E16*$I$12))*(100%+$J$12)*(100%+$K$12)*40*13/3*12*C16</f>
        <v>0</v>
      </c>
      <c r="R15" s="914">
        <f>(((E17*(100%+F14)+(G12/'C1_Allgemeine Angaben'!M52*3/13/40))+(E17*I12))*(100%+J12)*(100%+K12))*40*13/3*12*C17</f>
        <v>0</v>
      </c>
      <c r="S15" s="520" t="s">
        <v>446</v>
      </c>
      <c r="T15" s="520"/>
      <c r="U15" s="520"/>
    </row>
    <row r="16" spans="1:21" x14ac:dyDescent="0.2">
      <c r="A16" s="291"/>
      <c r="B16" s="521" t="s">
        <v>357</v>
      </c>
      <c r="C16" s="895"/>
      <c r="D16" s="845">
        <v>19.97</v>
      </c>
      <c r="E16" s="836">
        <f>ROUND(IFERROR(D16*(100%+$E$14),0),2)</f>
        <v>19.97</v>
      </c>
      <c r="F16" s="445"/>
      <c r="G16" s="444"/>
      <c r="H16" s="904"/>
      <c r="I16" s="905"/>
      <c r="J16" s="444"/>
      <c r="K16" s="260"/>
      <c r="M16" s="259"/>
      <c r="N16" s="260"/>
      <c r="P16" s="519">
        <f>(((E22*(100%+F21)+G12/'C1_Allgemeine Angaben'!$M$52*3/13/40)+(E22*$I$12))*(100%+$J$12)*(100%+$K$12))*40*13/3*12*C22</f>
        <v>0</v>
      </c>
      <c r="Q16" s="911">
        <f>(((E23*(100%+F21)+G12/'C1_Allgemeine Angaben'!M52*3/13/40)+(E23*$I$12))*(100%+$J$12)*(100%+$K$12))*40*13/3*12*C23</f>
        <v>0</v>
      </c>
      <c r="R16" s="914">
        <f>((E24*(100%+F21)+G12/'C1_Allgemeine Angaben'!M52*3/13/40)+(E24*I12))*(100%+J12)*(100%+K12)*40*13/3*12*C24</f>
        <v>0</v>
      </c>
      <c r="S16" s="520" t="s">
        <v>447</v>
      </c>
      <c r="T16" s="520"/>
      <c r="U16" s="520"/>
    </row>
    <row r="17" spans="1:21" ht="26.25" x14ac:dyDescent="0.2">
      <c r="A17" s="291"/>
      <c r="B17" s="522" t="s">
        <v>358</v>
      </c>
      <c r="C17" s="881">
        <f>C19-C15-C16</f>
        <v>0</v>
      </c>
      <c r="D17" s="846">
        <v>18.72</v>
      </c>
      <c r="E17" s="837">
        <f>ROUND(IFERROR(D17*(100%+$E$14),0),2)</f>
        <v>18.72</v>
      </c>
      <c r="F17" s="445"/>
      <c r="G17" s="905"/>
      <c r="H17" s="904"/>
      <c r="I17" s="904"/>
      <c r="J17" s="904"/>
      <c r="K17" s="260"/>
      <c r="M17" s="259"/>
      <c r="N17" s="260"/>
      <c r="P17" s="523">
        <f>(((E28*(100%+F27)+$G$12/'C1_Allgemeine Angaben'!$M$52*3/13/40)+(E28*$I$12))*(100%+$J$12)*(100%+$K$12))*40*13/3*12*C28</f>
        <v>0</v>
      </c>
      <c r="Q17" s="912">
        <f>(((E29*(100%+F27)+(G12/'C1_Allgemeine Angaben'!M52*3/13/40))+(E29*I12))*(100%+$J$12)*(100%+$K$12))*40*13/3*12*C29</f>
        <v>0</v>
      </c>
      <c r="R17" s="915">
        <f>((E30*(100%+F27)+G12/'C1_Allgemeine Angaben'!M52*3/13/40)+(E30*I12))*(100%+J12)*(100%+K12)*40*13/3*12*C30</f>
        <v>0</v>
      </c>
      <c r="S17" s="524" t="s">
        <v>448</v>
      </c>
      <c r="T17" s="524"/>
      <c r="U17" s="524"/>
    </row>
    <row r="18" spans="1:21" ht="15" thickBot="1" x14ac:dyDescent="0.25">
      <c r="A18" s="291"/>
      <c r="B18" s="527"/>
      <c r="C18" s="527"/>
      <c r="D18" s="527"/>
      <c r="E18" s="527"/>
      <c r="F18" s="527"/>
      <c r="G18" s="904"/>
      <c r="H18" s="904"/>
      <c r="I18" s="904"/>
      <c r="J18" s="904"/>
      <c r="K18" s="906"/>
      <c r="M18" s="259"/>
      <c r="N18" s="260"/>
      <c r="P18" s="528">
        <f>SUM(P15:P17)</f>
        <v>0</v>
      </c>
      <c r="Q18" s="913">
        <f>SUM(Q15:Q17)</f>
        <v>0</v>
      </c>
      <c r="R18" s="916">
        <f>SUM(R15:R17)</f>
        <v>0</v>
      </c>
      <c r="S18" s="1174" t="s">
        <v>449</v>
      </c>
      <c r="T18" s="1175"/>
      <c r="U18" s="1176"/>
    </row>
    <row r="19" spans="1:21" ht="16.5" thickTop="1" thickBot="1" x14ac:dyDescent="0.3">
      <c r="A19" s="291"/>
      <c r="B19" s="529" t="s">
        <v>355</v>
      </c>
      <c r="C19" s="882">
        <f>'C1_Kalkulation'!J26</f>
        <v>0</v>
      </c>
      <c r="D19" s="530"/>
      <c r="E19" s="838">
        <f>IF(C17&lt;0,"Fehler",IFERROR(ROUND((C15*E15+C16*E16+C17*E17)/C19,2),0))</f>
        <v>0</v>
      </c>
      <c r="F19" s="531">
        <f>ROUND(IFERROR(E19*(100%+$F$14),0),2)</f>
        <v>0</v>
      </c>
      <c r="G19" s="928">
        <f>IFERROR(IF(AND(E19="Fehler",'C1_Allgemeine Angaben'!M52=""),0,ROUND($G$12/'C1_Allgemeine Angaben'!$M$52*3/13/40,2)+F19),0)</f>
        <v>0</v>
      </c>
      <c r="H19" s="531">
        <f>ROUND(IFERROR(G19*40*13/3*12,0),2)</f>
        <v>0</v>
      </c>
      <c r="I19" s="531">
        <f>IFERROR((E19*40*13/3*12*$I$12)+H19,0)</f>
        <v>0</v>
      </c>
      <c r="J19" s="533">
        <f>I19*(100%+$J$12)</f>
        <v>0</v>
      </c>
      <c r="K19" s="534">
        <f>J19*(100%+$K$12)</f>
        <v>0</v>
      </c>
      <c r="M19" s="259"/>
      <c r="N19" s="260"/>
      <c r="O19" s="535"/>
      <c r="P19" s="972" t="e">
        <f>P18/P14</f>
        <v>#DIV/0!</v>
      </c>
      <c r="Q19" s="536" t="e">
        <f t="shared" ref="Q19" si="0">Q18/Q14</f>
        <v>#DIV/0!</v>
      </c>
      <c r="R19" s="537" t="e">
        <f>R18/R14</f>
        <v>#DIV/0!</v>
      </c>
      <c r="S19" s="1177" t="s">
        <v>450</v>
      </c>
      <c r="T19" s="1178"/>
      <c r="U19" s="1179"/>
    </row>
    <row r="20" spans="1:21" ht="25.15" customHeight="1" thickTop="1" x14ac:dyDescent="0.25">
      <c r="A20" s="291"/>
      <c r="B20" s="1039"/>
      <c r="C20" s="1039"/>
      <c r="D20" s="899" t="str">
        <f>IF(C17&lt;0,"Bitte korrigieren Sie Ihre Angaben in Zelle C16 u. o. C15","")</f>
        <v/>
      </c>
      <c r="E20" s="506">
        <f>IF(OR(E21&lt;0%,E21&gt;10.001%),"Fehler",0)</f>
        <v>0</v>
      </c>
      <c r="F20" s="539"/>
      <c r="G20" s="897"/>
      <c r="H20" s="444"/>
      <c r="I20" s="444"/>
      <c r="J20" s="444"/>
      <c r="K20" s="540"/>
      <c r="M20" s="259"/>
      <c r="N20" s="260"/>
      <c r="P20" s="499"/>
      <c r="Q20" s="499"/>
      <c r="R20" s="541"/>
      <c r="S20" s="499"/>
      <c r="T20" s="499"/>
      <c r="U20" s="499"/>
    </row>
    <row r="21" spans="1:21" ht="15.75" thickBot="1" x14ac:dyDescent="0.3">
      <c r="A21" s="291"/>
      <c r="B21" s="542" t="s">
        <v>139</v>
      </c>
      <c r="C21" s="543"/>
      <c r="D21" s="544"/>
      <c r="E21" s="448"/>
      <c r="F21" s="513">
        <f>IF('C1_Allgemeine Angaben'!D7="tst",KAT!C95,KAT!B95)</f>
        <v>3.6499999999999998E-2</v>
      </c>
      <c r="G21" s="898"/>
      <c r="H21" s="446"/>
      <c r="I21" s="446"/>
      <c r="J21" s="446"/>
      <c r="K21" s="545"/>
      <c r="M21" s="259"/>
      <c r="N21" s="260"/>
      <c r="P21" s="499"/>
      <c r="Q21" s="499"/>
      <c r="R21" s="541"/>
      <c r="S21" s="499"/>
      <c r="T21" s="499"/>
      <c r="U21" s="499"/>
    </row>
    <row r="22" spans="1:21" ht="16.5" thickTop="1" thickBot="1" x14ac:dyDescent="0.3">
      <c r="A22" s="291"/>
      <c r="B22" s="518" t="s">
        <v>356</v>
      </c>
      <c r="C22" s="1030"/>
      <c r="D22" s="844">
        <v>24.35</v>
      </c>
      <c r="E22" s="1031">
        <f>ROUND(IFERROR(D22*(100%+$E$21),0),2)</f>
        <v>24.35</v>
      </c>
      <c r="F22" s="547"/>
      <c r="G22" s="907"/>
      <c r="H22" s="904"/>
      <c r="I22" s="444"/>
      <c r="J22" s="444"/>
      <c r="K22" s="548"/>
      <c r="M22" s="259"/>
      <c r="N22" s="260"/>
      <c r="P22" s="499"/>
      <c r="Q22" s="499"/>
      <c r="R22" s="549"/>
      <c r="S22" s="499"/>
      <c r="T22" s="499"/>
      <c r="U22" s="499"/>
    </row>
    <row r="23" spans="1:21" ht="15" x14ac:dyDescent="0.25">
      <c r="A23" s="291"/>
      <c r="B23" s="521" t="s">
        <v>357</v>
      </c>
      <c r="C23" s="1027"/>
      <c r="D23" s="1028">
        <v>19.97</v>
      </c>
      <c r="E23" s="1029">
        <f>ROUND(IFERROR(D23*(100%+$E$21),0),2)</f>
        <v>19.97</v>
      </c>
      <c r="F23" s="547"/>
      <c r="G23" s="907"/>
      <c r="H23" s="904"/>
      <c r="I23" s="904"/>
      <c r="J23" s="904"/>
      <c r="K23" s="908"/>
      <c r="M23" s="259"/>
      <c r="N23" s="260"/>
      <c r="P23" s="499"/>
      <c r="Q23" s="499"/>
      <c r="R23" s="549"/>
      <c r="S23" s="499"/>
      <c r="T23" s="499"/>
      <c r="U23" s="499"/>
    </row>
    <row r="24" spans="1:21" ht="27" x14ac:dyDescent="0.25">
      <c r="A24" s="291"/>
      <c r="B24" s="551" t="s">
        <v>358</v>
      </c>
      <c r="C24" s="552">
        <f>C25-C22-C23</f>
        <v>0</v>
      </c>
      <c r="D24" s="849">
        <v>18.72</v>
      </c>
      <c r="E24" s="839">
        <f>ROUND(IFERROR(D24*(100%+$E$21),0),2)</f>
        <v>18.72</v>
      </c>
      <c r="F24" s="547"/>
      <c r="G24" s="904"/>
      <c r="H24" s="444"/>
      <c r="I24" s="444"/>
      <c r="J24" s="444"/>
      <c r="K24" s="553"/>
      <c r="M24" s="259"/>
      <c r="N24" s="260"/>
      <c r="P24" s="499"/>
      <c r="Q24" s="499"/>
      <c r="R24" s="499"/>
      <c r="S24" s="499"/>
      <c r="T24" s="499"/>
      <c r="U24" s="499"/>
    </row>
    <row r="25" spans="1:21" ht="15.75" thickBot="1" x14ac:dyDescent="0.3">
      <c r="A25" s="291"/>
      <c r="B25" s="554" t="s">
        <v>411</v>
      </c>
      <c r="C25" s="555">
        <f>'C1_Kalkulation'!J27</f>
        <v>0</v>
      </c>
      <c r="D25" s="556"/>
      <c r="E25" s="840">
        <f>IF(C24&lt;0,"Fehler",ROUND(IFERROR(((E24*C24+C23*E23+E22*C22)/C25),0),2))</f>
        <v>0</v>
      </c>
      <c r="F25" s="531">
        <f>ROUND(IFERROR(E25*(100%+$F$21),0),2)</f>
        <v>0</v>
      </c>
      <c r="G25" s="532">
        <f>IFERROR(IF(AND(E25="Fehler",'C1_Allgemeine Angaben'!M52=""),0,ROUND($G$12/'C1_Allgemeine Angaben'!$M$52*3/13/40,2)+F25),0)</f>
        <v>0</v>
      </c>
      <c r="H25" s="531">
        <f>ROUND(IFERROR(G25*40*13/3*12,0),2)</f>
        <v>0</v>
      </c>
      <c r="I25" s="531">
        <f>IFERROR((E25*40*13/3*12*$I$12)+H25,0)</f>
        <v>0</v>
      </c>
      <c r="J25" s="533">
        <f>I25*(100%+$J$12)</f>
        <v>0</v>
      </c>
      <c r="K25" s="557">
        <f>J25*(100%+$K$12)</f>
        <v>0</v>
      </c>
      <c r="M25" s="259"/>
      <c r="N25" s="260"/>
      <c r="P25" s="499"/>
      <c r="Q25" s="499"/>
      <c r="R25" s="499"/>
      <c r="S25" s="499"/>
      <c r="T25" s="499"/>
      <c r="U25" s="499"/>
    </row>
    <row r="26" spans="1:21" ht="25.15" customHeight="1" thickTop="1" x14ac:dyDescent="0.25">
      <c r="A26" s="291"/>
      <c r="B26" s="1032"/>
      <c r="C26" s="1032"/>
      <c r="D26" s="899" t="str">
        <f>IF(C24&lt;0,"Bitte korrigieren Sie Ihre Angaben in Zelle C21 u.o. C22","")</f>
        <v/>
      </c>
      <c r="E26" s="506">
        <f>IF(OR(E27&lt;0%,E27&gt;10.001%),"Fehler",0)</f>
        <v>0</v>
      </c>
      <c r="F26" s="444"/>
      <c r="G26" s="897"/>
      <c r="H26" s="444"/>
      <c r="I26" s="444"/>
      <c r="J26" s="444"/>
      <c r="K26" s="395"/>
      <c r="M26" s="259"/>
      <c r="N26" s="260"/>
      <c r="P26" s="560"/>
      <c r="Q26" s="561"/>
      <c r="R26" s="562"/>
      <c r="S26" s="499"/>
      <c r="T26" s="499"/>
      <c r="U26" s="499"/>
    </row>
    <row r="27" spans="1:21" ht="15" x14ac:dyDescent="0.25">
      <c r="A27" s="291"/>
      <c r="B27" s="563" t="s">
        <v>350</v>
      </c>
      <c r="C27" s="543"/>
      <c r="D27" s="564"/>
      <c r="E27" s="448"/>
      <c r="F27" s="513">
        <f>IF('C1_Allgemeine Angaben'!D7="tst",KAT!C96,KAT!B96)</f>
        <v>4.1500000000000002E-2</v>
      </c>
      <c r="G27" s="898"/>
      <c r="H27" s="446"/>
      <c r="I27" s="446"/>
      <c r="J27" s="446"/>
      <c r="K27" s="545"/>
      <c r="M27" s="259"/>
      <c r="N27" s="260"/>
      <c r="P27" s="560"/>
      <c r="Q27" s="561"/>
      <c r="R27" s="562"/>
      <c r="S27" s="499"/>
      <c r="T27" s="499"/>
      <c r="U27" s="499"/>
    </row>
    <row r="28" spans="1:21" ht="15" x14ac:dyDescent="0.25">
      <c r="A28" s="291"/>
      <c r="B28" s="546" t="s">
        <v>356</v>
      </c>
      <c r="C28" s="895"/>
      <c r="D28" s="847">
        <v>24.35</v>
      </c>
      <c r="E28" s="837">
        <f>ROUND(IFERROR(D28*(100%+$E$27),0),2)</f>
        <v>24.35</v>
      </c>
      <c r="F28" s="445"/>
      <c r="G28" s="444"/>
      <c r="H28" s="904"/>
      <c r="I28" s="444"/>
      <c r="J28" s="444"/>
      <c r="K28" s="548"/>
      <c r="M28" s="259"/>
      <c r="N28" s="260"/>
      <c r="P28" s="499"/>
      <c r="Q28" s="499"/>
      <c r="R28" s="499"/>
      <c r="S28" s="499"/>
      <c r="T28" s="499"/>
      <c r="U28" s="499"/>
    </row>
    <row r="29" spans="1:21" ht="15" x14ac:dyDescent="0.25">
      <c r="A29" s="291"/>
      <c r="B29" s="550" t="s">
        <v>357</v>
      </c>
      <c r="C29" s="895"/>
      <c r="D29" s="848">
        <v>19.97</v>
      </c>
      <c r="E29" s="841">
        <f>ROUND(IFERROR(D29*(100%+$E$27),0),2)</f>
        <v>19.97</v>
      </c>
      <c r="F29" s="445"/>
      <c r="G29" s="900"/>
      <c r="H29" s="905"/>
      <c r="I29" s="905"/>
      <c r="J29" s="905"/>
      <c r="K29" s="910"/>
      <c r="M29" s="259"/>
      <c r="N29" s="260"/>
      <c r="P29" s="499"/>
      <c r="Q29" s="499"/>
      <c r="R29" s="499"/>
      <c r="S29" s="499"/>
      <c r="T29" s="499"/>
      <c r="U29" s="499"/>
    </row>
    <row r="30" spans="1:21" ht="27" x14ac:dyDescent="0.25">
      <c r="A30" s="291"/>
      <c r="B30" s="551" t="s">
        <v>358</v>
      </c>
      <c r="C30" s="552">
        <f>C31-C28-C29</f>
        <v>0</v>
      </c>
      <c r="D30" s="849">
        <v>18.72</v>
      </c>
      <c r="E30" s="842">
        <f>ROUND(IFERROR(D30*(100%+$E$27),0),2)</f>
        <v>18.72</v>
      </c>
      <c r="F30" s="565"/>
      <c r="G30" s="909"/>
      <c r="H30" s="527"/>
      <c r="I30" s="527"/>
      <c r="J30" s="527"/>
      <c r="K30" s="553"/>
      <c r="M30" s="259"/>
      <c r="N30" s="260"/>
      <c r="P30" s="499"/>
      <c r="Q30" s="499"/>
      <c r="R30" s="499"/>
      <c r="S30" s="499"/>
      <c r="T30" s="499"/>
      <c r="U30" s="499"/>
    </row>
    <row r="31" spans="1:21" ht="15.75" thickBot="1" x14ac:dyDescent="0.3">
      <c r="A31" s="291"/>
      <c r="B31" s="554" t="s">
        <v>412</v>
      </c>
      <c r="C31" s="555">
        <f>IFERROR('C1_Kalkulation'!J34,0)</f>
        <v>0</v>
      </c>
      <c r="D31" s="566"/>
      <c r="E31" s="843">
        <f>IF(C30&lt;0,"Fehler",ROUND(IFERROR(((E30*C30+C29*E29+E28*C28)/C31),0),2))</f>
        <v>0</v>
      </c>
      <c r="F31" s="567">
        <f>ROUND(IFERROR(E31*(100%+$F$27),0),2)</f>
        <v>0</v>
      </c>
      <c r="G31" s="928">
        <f>IFERROR(IF(E31="Fehler",0,ROUND($G$12/'C1_Allgemeine Angaben'!$M$52*3/13/40,2)+F31),0)</f>
        <v>0</v>
      </c>
      <c r="H31" s="531">
        <f>ROUND(IFERROR(G31*40*13/3*12,0),2)</f>
        <v>0</v>
      </c>
      <c r="I31" s="531">
        <f>IFERROR((E31*40*13/3*12*$I$12)+H31,0)</f>
        <v>0</v>
      </c>
      <c r="J31" s="568">
        <f>I31*(100%+$J$12)</f>
        <v>0</v>
      </c>
      <c r="K31" s="569">
        <f>J31*(100%+$K$12)</f>
        <v>0</v>
      </c>
      <c r="M31" s="259"/>
      <c r="N31" s="260"/>
      <c r="P31" s="499"/>
      <c r="Q31" s="499"/>
      <c r="R31" s="499"/>
      <c r="S31" s="499"/>
      <c r="T31" s="499"/>
      <c r="U31" s="499"/>
    </row>
    <row r="32" spans="1:21" ht="25.15" customHeight="1" thickTop="1" x14ac:dyDescent="0.2">
      <c r="A32" s="291"/>
      <c r="B32" s="558"/>
      <c r="C32" s="559"/>
      <c r="D32" s="899" t="str">
        <f>IF(C30&lt;0,"Bitte korrigieren Sie Ihre Angaben in Zelle C27 u.o. C28","")</f>
        <v/>
      </c>
      <c r="E32" s="259"/>
      <c r="F32" s="259"/>
      <c r="G32" s="897"/>
      <c r="I32" s="259"/>
      <c r="J32" s="259"/>
      <c r="K32" s="259"/>
      <c r="L32" s="259"/>
      <c r="M32" s="259"/>
      <c r="N32" s="260"/>
      <c r="P32" s="499"/>
      <c r="Q32" s="499"/>
      <c r="R32" s="499"/>
      <c r="S32" s="499"/>
      <c r="T32" s="499"/>
      <c r="U32" s="499"/>
    </row>
    <row r="33" spans="1:21" x14ac:dyDescent="0.2">
      <c r="A33" s="291"/>
      <c r="B33" s="259"/>
      <c r="C33" s="259"/>
      <c r="D33" s="259"/>
      <c r="E33" s="259"/>
      <c r="F33" s="259"/>
      <c r="G33" s="575"/>
      <c r="I33" s="259"/>
      <c r="J33" s="259"/>
      <c r="K33" s="259"/>
      <c r="L33" s="259"/>
      <c r="M33" s="259"/>
      <c r="N33" s="260"/>
      <c r="P33" s="499"/>
      <c r="Q33" s="499"/>
      <c r="R33" s="499"/>
      <c r="S33" s="499"/>
      <c r="T33" s="499"/>
      <c r="U33" s="499"/>
    </row>
    <row r="34" spans="1:21" x14ac:dyDescent="0.2">
      <c r="A34" s="291"/>
      <c r="B34" s="570" t="s">
        <v>433</v>
      </c>
      <c r="C34" s="259"/>
      <c r="D34" s="259"/>
      <c r="E34" s="571"/>
      <c r="F34" s="259"/>
      <c r="G34" s="259"/>
      <c r="I34" s="259"/>
      <c r="J34" s="259"/>
      <c r="K34" s="259"/>
      <c r="L34" s="259"/>
      <c r="M34" s="259"/>
      <c r="N34" s="260"/>
      <c r="P34" s="499"/>
      <c r="Q34" s="499"/>
      <c r="R34" s="499"/>
      <c r="S34" s="499"/>
      <c r="T34" s="499"/>
      <c r="U34" s="499"/>
    </row>
    <row r="35" spans="1:21" s="259" customFormat="1" ht="15" thickBot="1" x14ac:dyDescent="0.25">
      <c r="A35" s="291"/>
      <c r="B35" s="572"/>
      <c r="C35" s="420"/>
      <c r="D35" s="420"/>
      <c r="E35" s="420"/>
      <c r="F35" s="420"/>
      <c r="G35" s="420"/>
      <c r="H35" s="420"/>
      <c r="N35" s="260"/>
      <c r="P35" s="499"/>
      <c r="Q35" s="499"/>
      <c r="R35" s="499"/>
      <c r="S35" s="499"/>
      <c r="T35" s="499"/>
      <c r="U35" s="499"/>
    </row>
    <row r="36" spans="1:21" s="259" customFormat="1" x14ac:dyDescent="0.2">
      <c r="A36" s="291"/>
      <c r="B36" s="1189" t="s">
        <v>434</v>
      </c>
      <c r="C36" s="573" t="s">
        <v>432</v>
      </c>
      <c r="D36" s="573" t="s">
        <v>430</v>
      </c>
      <c r="E36" s="574" t="s">
        <v>431</v>
      </c>
      <c r="F36" s="420"/>
      <c r="G36" s="420"/>
      <c r="H36" s="420"/>
      <c r="J36" s="575"/>
      <c r="N36" s="260"/>
      <c r="P36" s="499"/>
      <c r="Q36" s="499"/>
      <c r="R36" s="499"/>
      <c r="S36" s="499"/>
      <c r="T36" s="499"/>
      <c r="U36" s="499"/>
    </row>
    <row r="37" spans="1:21" s="259" customFormat="1" ht="26.25" thickBot="1" x14ac:dyDescent="0.25">
      <c r="A37" s="291"/>
      <c r="B37" s="1190"/>
      <c r="C37" s="576" t="s">
        <v>435</v>
      </c>
      <c r="D37" s="478" t="s">
        <v>436</v>
      </c>
      <c r="E37" s="479" t="s">
        <v>437</v>
      </c>
      <c r="F37" s="420"/>
      <c r="G37" s="420"/>
      <c r="H37" s="1191"/>
      <c r="I37" s="1191"/>
      <c r="N37" s="260"/>
      <c r="P37" s="499"/>
      <c r="Q37" s="499"/>
      <c r="R37" s="499"/>
      <c r="S37" s="499"/>
      <c r="T37" s="499"/>
      <c r="U37" s="499"/>
    </row>
    <row r="38" spans="1:21" s="259" customFormat="1" x14ac:dyDescent="0.2">
      <c r="A38" s="291"/>
      <c r="B38" s="572"/>
      <c r="C38" s="1191"/>
      <c r="D38" s="1191"/>
      <c r="E38" s="1191"/>
      <c r="F38" s="1191"/>
      <c r="G38" s="888"/>
      <c r="H38" s="1191"/>
      <c r="I38" s="1191"/>
      <c r="N38" s="260"/>
      <c r="P38" s="499"/>
      <c r="Q38" s="499"/>
      <c r="R38" s="499"/>
      <c r="S38" s="499"/>
      <c r="T38" s="499"/>
      <c r="U38" s="499"/>
    </row>
    <row r="39" spans="1:21" s="259" customFormat="1" x14ac:dyDescent="0.2">
      <c r="A39" s="592"/>
      <c r="B39" s="577" t="s">
        <v>438</v>
      </c>
      <c r="C39" s="872">
        <f>IFERROR(((E22*C22+E28*C28+C15*E15)*40*13/3)/SUM(C15,C22,C28),0)</f>
        <v>0</v>
      </c>
      <c r="D39" s="872">
        <f>IFERROR(((E23*C23+E29*C29+E16*C16)*40*13/3)/SUM(C16,C23,C29),0)</f>
        <v>0</v>
      </c>
      <c r="E39" s="872">
        <f>IFERROR(((C17*E17+E24*C24+E30*C30)*40*13/3)/SUM(C17,C24,C30),0)</f>
        <v>0</v>
      </c>
      <c r="F39" s="578"/>
      <c r="G39" s="420"/>
      <c r="H39" s="420"/>
      <c r="I39" s="420"/>
      <c r="N39" s="260"/>
      <c r="P39" s="499"/>
      <c r="Q39" s="499"/>
      <c r="R39" s="499"/>
      <c r="S39" s="499"/>
      <c r="T39" s="499"/>
      <c r="U39" s="499"/>
    </row>
    <row r="40" spans="1:21" ht="15" thickBot="1" x14ac:dyDescent="0.25">
      <c r="A40" s="592"/>
      <c r="B40" s="579" t="s">
        <v>439</v>
      </c>
      <c r="C40" s="580">
        <f>40*13/3</f>
        <v>173.33333333333334</v>
      </c>
      <c r="D40" s="580">
        <f t="shared" ref="D40:E40" si="1">40*13/3</f>
        <v>173.33333333333334</v>
      </c>
      <c r="E40" s="580">
        <f t="shared" si="1"/>
        <v>173.33333333333334</v>
      </c>
      <c r="N40" s="19"/>
      <c r="P40" s="499"/>
      <c r="Q40" s="499"/>
      <c r="R40" s="499"/>
      <c r="S40" s="499"/>
      <c r="T40" s="499"/>
      <c r="U40" s="499"/>
    </row>
    <row r="41" spans="1:21" ht="15" thickBot="1" x14ac:dyDescent="0.25">
      <c r="A41" s="20"/>
      <c r="B41" s="581" t="s">
        <v>451</v>
      </c>
      <c r="C41" s="582">
        <f>C39/C40</f>
        <v>0</v>
      </c>
      <c r="D41" s="583">
        <f t="shared" ref="D41:E41" si="2">D39/D40</f>
        <v>0</v>
      </c>
      <c r="E41" s="584">
        <f t="shared" si="2"/>
        <v>0</v>
      </c>
      <c r="N41" s="19"/>
      <c r="P41" s="499"/>
      <c r="Q41" s="499"/>
      <c r="R41" s="499"/>
      <c r="S41" s="499"/>
      <c r="T41" s="499"/>
      <c r="U41" s="499"/>
    </row>
    <row r="42" spans="1:21" x14ac:dyDescent="0.2">
      <c r="A42" s="20"/>
      <c r="N42" s="19"/>
      <c r="P42" s="499"/>
      <c r="Q42" s="499"/>
      <c r="R42" s="499"/>
      <c r="S42" s="499"/>
      <c r="T42" s="499"/>
      <c r="U42" s="499"/>
    </row>
    <row r="43" spans="1:21" x14ac:dyDescent="0.2">
      <c r="A43" s="20"/>
      <c r="B43" s="585" t="s">
        <v>318</v>
      </c>
      <c r="C43" s="586">
        <f>SUM(C28,C22,C15)-'C1_Kalkulation'!D25</f>
        <v>0</v>
      </c>
      <c r="D43" s="586">
        <f>SUM(C29,C23,C16)</f>
        <v>0</v>
      </c>
      <c r="E43" s="586">
        <f>SUM(C30,C17,C24)</f>
        <v>0</v>
      </c>
      <c r="N43" s="19"/>
      <c r="P43" s="499"/>
      <c r="Q43" s="499"/>
      <c r="R43" s="499"/>
      <c r="S43" s="499"/>
      <c r="T43" s="499"/>
      <c r="U43" s="499"/>
    </row>
    <row r="44" spans="1:21" ht="15" thickBot="1" x14ac:dyDescent="0.25">
      <c r="A44" s="20"/>
      <c r="B44" s="579" t="s">
        <v>440</v>
      </c>
      <c r="C44" s="1185">
        <f>IFERROR(SUM(C43:E43),0)</f>
        <v>0</v>
      </c>
      <c r="D44" s="1185"/>
      <c r="E44" s="1185"/>
      <c r="I44" s="535"/>
      <c r="N44" s="19"/>
      <c r="P44" s="499"/>
      <c r="Q44" s="499"/>
      <c r="R44" s="499"/>
      <c r="S44" s="499"/>
      <c r="T44" s="499"/>
      <c r="U44" s="499"/>
    </row>
    <row r="45" spans="1:21" ht="15" thickBot="1" x14ac:dyDescent="0.25">
      <c r="A45" s="20"/>
      <c r="B45" s="587" t="s">
        <v>441</v>
      </c>
      <c r="C45" s="588">
        <f>IFERROR(C43/C44,0)</f>
        <v>0</v>
      </c>
      <c r="D45" s="589">
        <f>IFERROR(D43/C44,0)</f>
        <v>0</v>
      </c>
      <c r="E45" s="590">
        <f>IFERROR(E43/C44,0)</f>
        <v>0</v>
      </c>
      <c r="N45" s="19"/>
      <c r="P45" s="499"/>
      <c r="Q45" s="499"/>
      <c r="R45" s="499"/>
      <c r="S45" s="499"/>
      <c r="T45" s="499"/>
      <c r="U45" s="499"/>
    </row>
    <row r="46" spans="1:21" ht="15" thickBot="1" x14ac:dyDescent="0.25">
      <c r="A46" s="20"/>
      <c r="N46" s="19"/>
      <c r="P46" s="499"/>
      <c r="Q46" s="499"/>
      <c r="R46" s="499"/>
      <c r="S46" s="499"/>
      <c r="T46" s="499"/>
      <c r="U46" s="499"/>
    </row>
    <row r="47" spans="1:21" ht="15.75" thickBot="1" x14ac:dyDescent="0.3">
      <c r="A47" s="20"/>
      <c r="B47" s="477" t="s">
        <v>442</v>
      </c>
      <c r="C47" s="1186">
        <f>IFERROR(C45*C41+D41*D45+E41*E45,0)</f>
        <v>0</v>
      </c>
      <c r="D47" s="1187"/>
      <c r="E47" s="1188"/>
      <c r="N47" s="19"/>
    </row>
    <row r="48" spans="1:21" ht="15.75" thickBot="1" x14ac:dyDescent="0.3">
      <c r="A48" s="20"/>
      <c r="B48" s="903" t="s">
        <v>518</v>
      </c>
      <c r="C48" s="1192">
        <f>IFERROR(ROUND(G12/'C1_Allgemeine Angaben'!M52*3/13/40+C47,2),0)</f>
        <v>0</v>
      </c>
      <c r="D48" s="1193"/>
      <c r="E48" s="1194"/>
      <c r="F48" s="917" t="str">
        <f>IF(C48&gt;21.55*110%,"Forderung liegt über 10% des regional üblichen Entgeltes.","")</f>
        <v/>
      </c>
      <c r="N48" s="593"/>
    </row>
    <row r="49" spans="1:14" x14ac:dyDescent="0.2">
      <c r="A49" s="183"/>
      <c r="B49" s="901" t="s">
        <v>443</v>
      </c>
      <c r="C49" s="902">
        <f>IFERROR(P19,0)</f>
        <v>0</v>
      </c>
      <c r="D49" s="902">
        <f>IFERROR(Q19,0)</f>
        <v>0</v>
      </c>
      <c r="E49" s="902">
        <f>IFERROR(R19,0)</f>
        <v>0</v>
      </c>
      <c r="F49" s="183"/>
      <c r="G49" s="89"/>
      <c r="H49" s="283"/>
      <c r="I49" s="89"/>
      <c r="J49" s="89"/>
      <c r="K49" s="89"/>
      <c r="L49" s="89"/>
      <c r="M49" s="89"/>
      <c r="N49" s="591"/>
    </row>
    <row r="50" spans="1:14" ht="15" thickBot="1" x14ac:dyDescent="0.25"/>
    <row r="51" spans="1:14" ht="15" customHeight="1" thickBot="1" x14ac:dyDescent="0.25">
      <c r="D51" s="1123" t="s">
        <v>452</v>
      </c>
      <c r="E51" s="1124"/>
      <c r="F51" s="1124"/>
      <c r="G51" s="1124"/>
      <c r="H51" s="1124"/>
      <c r="I51" s="1124"/>
      <c r="J51" s="1124"/>
      <c r="K51" s="1125"/>
    </row>
  </sheetData>
  <sheetProtection algorithmName="SHA-512" hashValue="2w9IRfdjuY/MxFqlEk+BlnOnreOmGsb9e3d9wWkqRipuqSGRtpjIW0DqYCbn2K2r90tmdW0VhRNmYHLKZ1pBMw==" saltValue="+2sSRvuEfh02S0VCatRurQ==" spinCount="100000" sheet="1" objects="1" scenarios="1"/>
  <mergeCells count="19">
    <mergeCell ref="A1:N1"/>
    <mergeCell ref="B2:N2"/>
    <mergeCell ref="B11:B12"/>
    <mergeCell ref="C11:C12"/>
    <mergeCell ref="H11:H12"/>
    <mergeCell ref="B6:G6"/>
    <mergeCell ref="P11:R11"/>
    <mergeCell ref="S14:U14"/>
    <mergeCell ref="S18:U18"/>
    <mergeCell ref="S19:U19"/>
    <mergeCell ref="B36:B37"/>
    <mergeCell ref="H37:I37"/>
    <mergeCell ref="D51:K51"/>
    <mergeCell ref="C38:D38"/>
    <mergeCell ref="E38:F38"/>
    <mergeCell ref="H38:I38"/>
    <mergeCell ref="C44:E44"/>
    <mergeCell ref="C47:E47"/>
    <mergeCell ref="C48:E48"/>
  </mergeCells>
  <conditionalFormatting sqref="C17">
    <cfRule type="expression" dxfId="50" priority="6">
      <formula>$C$17&lt;0</formula>
    </cfRule>
  </conditionalFormatting>
  <conditionalFormatting sqref="C24">
    <cfRule type="expression" dxfId="49" priority="5">
      <formula>$C$24&lt;0</formula>
    </cfRule>
  </conditionalFormatting>
  <conditionalFormatting sqref="C30">
    <cfRule type="expression" dxfId="48" priority="4">
      <formula>$C$30&lt;0</formula>
    </cfRule>
  </conditionalFormatting>
  <conditionalFormatting sqref="E13">
    <cfRule type="cellIs" dxfId="47" priority="9" operator="equal">
      <formula>0</formula>
    </cfRule>
  </conditionalFormatting>
  <conditionalFormatting sqref="E20">
    <cfRule type="cellIs" dxfId="46" priority="8" operator="equal">
      <formula>0</formula>
    </cfRule>
  </conditionalFormatting>
  <conditionalFormatting sqref="E26">
    <cfRule type="cellIs" dxfId="45" priority="7" operator="equal">
      <formula>0</formula>
    </cfRule>
  </conditionalFormatting>
  <dataValidations disablePrompts="1" count="3">
    <dataValidation allowBlank="1" showInputMessage="1" showErrorMessage="1" promptTitle="Bitte nur eintragen," prompt="sofern in aktueller Vereinbarung die Inflatiosnausgleichsprämie mit berücksichtigt wurde." sqref="G12" xr:uid="{00000000-0002-0000-0400-000000000000}"/>
    <dataValidation type="custom" allowBlank="1" showInputMessage="1" showErrorMessage="1" sqref="E27 E21 E14" xr:uid="{00000000-0002-0000-0400-000001000000}">
      <formula1>E14&lt;10.001%</formula1>
    </dataValidation>
    <dataValidation type="custom" allowBlank="1" showInputMessage="1" showErrorMessage="1" sqref="E13 E20 E26 E32" xr:uid="{00000000-0002-0000-0400-000002000000}">
      <formula1>E13&lt;10.0001%</formula1>
    </dataValidation>
  </dataValidations>
  <hyperlinks>
    <hyperlink ref="D51" location="'Anlage 1'!A1" display="Anlage 1" xr:uid="{00000000-0004-0000-0400-000000000000}"/>
    <hyperlink ref="D51:K51" location="'C1_Gesamtkalkulation'!Druckbereich" display="gehe weiter zu C1_Gesamtkalkulation" xr:uid="{00000000-0004-0000-0400-000001000000}"/>
  </hyperlinks>
  <pageMargins left="0.70866141732283472" right="0.70866141732283472" top="0.78740157480314965" bottom="0.78740157480314965" header="0.31496062992125984" footer="0.31496062992125984"/>
  <pageSetup paperSize="9" scale="51" orientation="landscape"/>
  <headerFooter>
    <oddFooter>&amp;LVersion: 21.11.2024&amp;CVerhandlungsunterlagen SGB XI (vereinfacht C1)&amp;RPSK-Beschluss vom 07.11.2024</oddFooter>
  </headerFooter>
  <extLst>
    <ext xmlns:x14="http://schemas.microsoft.com/office/spreadsheetml/2009/9/main" uri="{78C0D931-6437-407d-A8EE-F0AAD7539E65}">
      <x14:conditionalFormattings>
        <x14:conditionalFormatting xmlns:xm="http://schemas.microsoft.com/office/excel/2006/main">
          <x14:cfRule type="expression" priority="2" id="{7E22CA8C-D539-48C6-976E-1190F3D474A8}">
            <xm:f>KAT!$B$10=0</xm:f>
            <x14:dxf>
              <font>
                <color theme="0"/>
              </font>
              <fill>
                <patternFill>
                  <bgColor theme="0"/>
                </patternFill>
              </fill>
              <border>
                <left/>
                <right/>
                <top/>
                <bottom/>
                <vertical/>
                <horizontal/>
              </border>
            </x14:dxf>
          </x14:cfRule>
          <xm:sqref>A1:N52</xm:sqref>
        </x14:conditionalFormatting>
        <x14:conditionalFormatting xmlns:xm="http://schemas.microsoft.com/office/excel/2006/main">
          <x14:cfRule type="expression" priority="3" id="{0A1E8A94-05C1-4502-8FD0-D64AA696268C}">
            <xm:f>KAT!$K$5=1</xm:f>
            <x14:dxf>
              <font>
                <color theme="0"/>
              </font>
              <fill>
                <patternFill>
                  <bgColor theme="0" tint="-0.14996795556505021"/>
                </patternFill>
              </fill>
              <border>
                <left/>
                <right/>
                <top/>
                <bottom/>
                <vertical/>
                <horizontal/>
              </border>
            </x14:dxf>
          </x14:cfRule>
          <xm:sqref>B6 B7:F9</xm:sqref>
        </x14:conditionalFormatting>
        <x14:conditionalFormatting xmlns:xm="http://schemas.microsoft.com/office/excel/2006/main">
          <x14:cfRule type="expression" priority="1" id="{A1C1A2A4-DC29-4B1B-B25F-FAD833E42CD8}">
            <xm:f>(KAT!$A$113="nein")</xm:f>
            <x14:dxf>
              <fill>
                <patternFill>
                  <bgColor theme="0"/>
                </patternFill>
              </fill>
            </x14:dxf>
          </x14:cfRule>
          <xm:sqref>H9 E13 D20:E20 D26:E26 D32 F48</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prompt="SV Beitrag ohne U1 Teilnahme = 20,850 %_x000a_SV Beitrag mit U1 Teilnahme = 23,000 %" xr:uid="{00000000-0002-0000-0400-000003000000}">
          <x14:formula1>
            <xm:f>KAT!$C$108:$C$109</xm:f>
          </x14:formula1>
          <xm:sqref>I12</xm:sqref>
        </x14:dataValidation>
        <x14:dataValidation type="list" allowBlank="1" showInputMessage="1" showErrorMessage="1" prompt="SV Beitrag ohne U1 Teilnahme = 20,335%_x000a_SV Beitrag mit U1 Teilnahme = 21,105 % " xr:uid="{00000000-0002-0000-0400-000004000000}">
          <x14:formula1>
            <xm:f>KAT!#REF!</xm:f>
          </x14:formula1>
          <xm:sqref>I13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AO59"/>
  <sheetViews>
    <sheetView showGridLines="0" zoomScale="90" zoomScaleNormal="90" workbookViewId="0">
      <selection activeCell="A2" sqref="A2:W2"/>
    </sheetView>
  </sheetViews>
  <sheetFormatPr baseColWidth="10" defaultColWidth="11" defaultRowHeight="14.25" x14ac:dyDescent="0.2"/>
  <cols>
    <col min="1" max="1" width="2.125" style="3" customWidth="1"/>
    <col min="2" max="2" width="5.625" style="3" customWidth="1"/>
    <col min="3" max="3" width="34.25" style="3" customWidth="1"/>
    <col min="4" max="4" width="16.625" style="3" customWidth="1"/>
    <col min="5" max="5" width="13.625" style="3" hidden="1" customWidth="1"/>
    <col min="6" max="6" width="11.625" style="3" hidden="1" customWidth="1"/>
    <col min="7" max="7" width="12.625" style="3" hidden="1" customWidth="1"/>
    <col min="8" max="8" width="13.625" style="3" customWidth="1"/>
    <col min="9" max="9" width="12.625" style="11" hidden="1" customWidth="1"/>
    <col min="10" max="10" width="13.625" style="3" customWidth="1"/>
    <col min="11" max="11" width="12.625" style="11" hidden="1" customWidth="1"/>
    <col min="12" max="12" width="13.625" style="3" customWidth="1"/>
    <col min="13" max="13" width="12.625" style="3" hidden="1" customWidth="1"/>
    <col min="14" max="14" width="13.625" style="3" customWidth="1"/>
    <col min="15" max="15" width="12.625" style="3" hidden="1" customWidth="1"/>
    <col min="16" max="16" width="13.625" style="3" customWidth="1"/>
    <col min="17" max="17" width="12.625" style="11" hidden="1" customWidth="1"/>
    <col min="18" max="18" width="13.625" style="3" customWidth="1"/>
    <col min="19" max="19" width="12.625" style="3" hidden="1" customWidth="1"/>
    <col min="20" max="20" width="13.625" style="3" customWidth="1"/>
    <col min="21" max="21" width="12.625" style="3" hidden="1" customWidth="1"/>
    <col min="22" max="22" width="13.625" style="3" customWidth="1"/>
    <col min="23" max="23" width="2.125" style="3" customWidth="1"/>
    <col min="24" max="42" width="11" style="3" customWidth="1"/>
    <col min="43" max="16384" width="11" style="3"/>
  </cols>
  <sheetData>
    <row r="1" spans="1:27" ht="36" customHeight="1" x14ac:dyDescent="0.25">
      <c r="A1" s="1128" t="str">
        <f>'C1_Allgemeine Angaben'!A1:N1</f>
        <v>Vereinfachtes Antragsverfahren für tarifungebundene Einrichtungen mit laufender Vereinbarung über den 31. Dezember 2024 im Rahmen § 72 Abs. 3b Satz 7 in Verbindung mit der Veröffentlichung nach § 82c Abs. 5 SGB XI (Stand 31.10.2024)</v>
      </c>
      <c r="B1" s="1129"/>
      <c r="C1" s="1129"/>
      <c r="D1" s="1129"/>
      <c r="E1" s="1129"/>
      <c r="F1" s="1129"/>
      <c r="G1" s="1129"/>
      <c r="H1" s="1129"/>
      <c r="I1" s="1201"/>
      <c r="J1" s="1201"/>
      <c r="K1" s="1201"/>
      <c r="L1" s="1201"/>
      <c r="M1" s="1201"/>
      <c r="N1" s="1201"/>
      <c r="O1" s="1201"/>
      <c r="P1" s="1201"/>
      <c r="Q1" s="1201"/>
      <c r="R1" s="1201"/>
      <c r="S1" s="1201"/>
      <c r="T1" s="1201"/>
      <c r="U1" s="1201"/>
      <c r="V1" s="1201"/>
      <c r="W1" s="1202"/>
      <c r="X1" s="618"/>
      <c r="Y1" s="619"/>
      <c r="Z1" s="620"/>
      <c r="AA1" s="621"/>
    </row>
    <row r="2" spans="1:27" ht="15" customHeight="1" x14ac:dyDescent="0.25">
      <c r="A2" s="1131" t="s">
        <v>69</v>
      </c>
      <c r="B2" s="1132"/>
      <c r="C2" s="1132"/>
      <c r="D2" s="1132"/>
      <c r="E2" s="1132"/>
      <c r="F2" s="1132"/>
      <c r="G2" s="1132"/>
      <c r="H2" s="1132"/>
      <c r="I2" s="1203"/>
      <c r="J2" s="1203"/>
      <c r="K2" s="1203"/>
      <c r="L2" s="1203"/>
      <c r="M2" s="1203"/>
      <c r="N2" s="1203"/>
      <c r="O2" s="1203"/>
      <c r="P2" s="1203"/>
      <c r="Q2" s="1203"/>
      <c r="R2" s="1203"/>
      <c r="S2" s="1203"/>
      <c r="T2" s="1203"/>
      <c r="U2" s="1203"/>
      <c r="V2" s="1203"/>
      <c r="W2" s="1204"/>
      <c r="X2" s="622"/>
    </row>
    <row r="3" spans="1:27" ht="15" customHeight="1" x14ac:dyDescent="0.2">
      <c r="A3" s="1208" t="str">
        <f>'C1_Allgemeine Angaben'!A3:N3</f>
        <v/>
      </c>
      <c r="B3" s="1209"/>
      <c r="C3" s="1209"/>
      <c r="D3" s="1209"/>
      <c r="E3" s="1209"/>
      <c r="F3" s="1209"/>
      <c r="G3" s="1209"/>
      <c r="H3" s="1209"/>
      <c r="I3" s="1203"/>
      <c r="J3" s="1203"/>
      <c r="K3" s="1203"/>
      <c r="L3" s="1203"/>
      <c r="M3" s="1203"/>
      <c r="N3" s="1203"/>
      <c r="O3" s="1203"/>
      <c r="P3" s="1203"/>
      <c r="Q3" s="1203"/>
      <c r="R3" s="1203"/>
      <c r="S3" s="1203"/>
      <c r="T3" s="1203"/>
      <c r="U3" s="1203"/>
      <c r="V3" s="1203"/>
      <c r="W3" s="1204"/>
      <c r="X3" s="623"/>
    </row>
    <row r="4" spans="1:27" ht="15" customHeight="1" x14ac:dyDescent="0.2">
      <c r="A4" s="1210" t="str">
        <f>'C1_Allgemeine Angaben'!A4:N4</f>
        <v/>
      </c>
      <c r="B4" s="1211"/>
      <c r="C4" s="1211"/>
      <c r="D4" s="1211"/>
      <c r="E4" s="1211"/>
      <c r="F4" s="1211"/>
      <c r="G4" s="1211"/>
      <c r="H4" s="1211"/>
      <c r="I4" s="1212"/>
      <c r="J4" s="1212"/>
      <c r="K4" s="1212"/>
      <c r="L4" s="1212"/>
      <c r="M4" s="1212"/>
      <c r="N4" s="1212"/>
      <c r="O4" s="1212"/>
      <c r="P4" s="1212"/>
      <c r="Q4" s="1212"/>
      <c r="R4" s="1212"/>
      <c r="S4" s="1212"/>
      <c r="T4" s="1212"/>
      <c r="U4" s="1212"/>
      <c r="V4" s="1212"/>
      <c r="W4" s="1213"/>
      <c r="X4" s="624"/>
    </row>
    <row r="5" spans="1:27" ht="14.25" customHeight="1" x14ac:dyDescent="0.2">
      <c r="A5" s="2"/>
      <c r="B5" s="625"/>
      <c r="C5" s="626"/>
      <c r="D5" s="626"/>
      <c r="E5" s="627" t="s">
        <v>70</v>
      </c>
      <c r="F5" s="627"/>
      <c r="G5" s="628"/>
      <c r="I5" s="40"/>
      <c r="J5" s="629" t="s">
        <v>124</v>
      </c>
      <c r="K5" s="40"/>
      <c r="L5" s="629" t="s">
        <v>125</v>
      </c>
      <c r="M5" s="628"/>
      <c r="N5" s="629" t="s">
        <v>141</v>
      </c>
      <c r="O5" s="628"/>
      <c r="P5" s="629" t="s">
        <v>73</v>
      </c>
      <c r="Q5" s="40"/>
      <c r="S5" s="628"/>
      <c r="U5" s="628"/>
      <c r="W5" s="4"/>
      <c r="X5" s="623"/>
    </row>
    <row r="6" spans="1:27" x14ac:dyDescent="0.2">
      <c r="A6" s="2"/>
      <c r="C6" s="630" t="s">
        <v>71</v>
      </c>
      <c r="D6" s="631" t="str">
        <f>IF('C1_Allgemeine Angaben'!L45&gt;0,'C1_Allgemeine Angaben'!L45,"")</f>
        <v/>
      </c>
      <c r="E6" s="40" t="s">
        <v>72</v>
      </c>
      <c r="F6" s="40"/>
      <c r="G6" s="628"/>
      <c r="I6" s="40"/>
      <c r="J6" s="632" t="str">
        <f>IF('C1_Kalkulation'!I6&gt;0,'C1_Kalkulation'!I6,"")</f>
        <v/>
      </c>
      <c r="K6" s="40"/>
      <c r="L6" s="633" t="str">
        <f>IF('C1_Kalkulation'!D6&gt;0,'C1_Kalkulation'!D6,"")</f>
        <v/>
      </c>
      <c r="M6" s="41"/>
      <c r="N6" s="634" t="str">
        <f>IFERROR(L6*J6*'C1_Allgemeine Angaben'!L45/100,"")</f>
        <v/>
      </c>
      <c r="O6" s="628"/>
      <c r="P6" s="634" t="str">
        <f>IFERROR(ROUND(J6/12,2),"")</f>
        <v/>
      </c>
      <c r="Q6" s="635"/>
      <c r="S6" s="628"/>
      <c r="T6" s="37"/>
      <c r="U6" s="636"/>
      <c r="V6" s="37"/>
      <c r="W6" s="4"/>
    </row>
    <row r="7" spans="1:27" ht="3" customHeight="1" x14ac:dyDescent="0.2">
      <c r="A7" s="2"/>
      <c r="C7" s="630"/>
      <c r="D7" s="630"/>
      <c r="E7" s="637"/>
      <c r="F7" s="637"/>
      <c r="G7" s="628"/>
      <c r="I7" s="638"/>
      <c r="J7" s="630"/>
      <c r="K7" s="638"/>
      <c r="L7" s="630"/>
      <c r="M7" s="638"/>
      <c r="N7" s="630"/>
      <c r="O7" s="628"/>
      <c r="Q7" s="638"/>
      <c r="R7" s="630"/>
      <c r="S7" s="638"/>
      <c r="T7" s="37"/>
      <c r="U7" s="636"/>
      <c r="V7" s="37"/>
      <c r="W7" s="4"/>
    </row>
    <row r="8" spans="1:27" x14ac:dyDescent="0.2">
      <c r="A8" s="2"/>
      <c r="C8" s="37"/>
      <c r="D8" s="630"/>
      <c r="E8" s="40" t="s">
        <v>74</v>
      </c>
      <c r="F8" s="40"/>
      <c r="G8" s="628"/>
      <c r="I8" s="638"/>
      <c r="J8" s="639" t="s">
        <v>142</v>
      </c>
      <c r="K8" s="40"/>
      <c r="L8" s="633" t="str">
        <f>IF('C1_Allgemeine Angaben'!D7="vst",100,IF('C1_Allgemeine Angaben'!D7="kzp",100,L6))</f>
        <v/>
      </c>
      <c r="M8" s="637"/>
      <c r="N8" s="634" t="str">
        <f>IFERROR('C1_Kalkulation'!L12*J6*L8/100,"")</f>
        <v/>
      </c>
      <c r="O8" s="628"/>
      <c r="Q8" s="635"/>
      <c r="S8" s="628"/>
      <c r="T8" s="37"/>
      <c r="U8" s="636"/>
      <c r="V8" s="37"/>
      <c r="W8" s="4"/>
      <c r="X8" s="640"/>
    </row>
    <row r="9" spans="1:27" ht="9.9499999999999993" customHeight="1" x14ac:dyDescent="0.2">
      <c r="A9" s="2"/>
      <c r="C9" s="37"/>
      <c r="D9" s="630"/>
      <c r="E9" s="628"/>
      <c r="F9" s="628"/>
      <c r="G9" s="628"/>
      <c r="I9" s="638"/>
      <c r="J9" s="630"/>
      <c r="K9" s="630"/>
      <c r="L9" s="630"/>
      <c r="M9" s="41"/>
      <c r="N9" s="17"/>
      <c r="O9" s="628"/>
      <c r="Q9" s="41"/>
      <c r="R9" s="17"/>
      <c r="S9" s="628"/>
      <c r="T9" s="37"/>
      <c r="U9" s="636"/>
      <c r="V9" s="37"/>
      <c r="W9" s="4"/>
      <c r="X9" s="640"/>
    </row>
    <row r="10" spans="1:27" x14ac:dyDescent="0.2">
      <c r="A10" s="2"/>
      <c r="C10" s="639"/>
      <c r="D10" s="11" t="s">
        <v>29</v>
      </c>
      <c r="E10" s="641">
        <f>SUM(H10:P10)</f>
        <v>0</v>
      </c>
      <c r="F10" s="641" t="s">
        <v>206</v>
      </c>
      <c r="G10" s="628"/>
      <c r="H10" s="642">
        <f>'C1_Kalkulation'!H14</f>
        <v>0</v>
      </c>
      <c r="I10" s="643"/>
      <c r="J10" s="642">
        <f>'C1_Kalkulation'!I14</f>
        <v>0</v>
      </c>
      <c r="K10" s="643"/>
      <c r="L10" s="642">
        <f>'C1_Kalkulation'!J14</f>
        <v>0</v>
      </c>
      <c r="M10" s="644"/>
      <c r="N10" s="642">
        <f>'C1_Kalkulation'!K14</f>
        <v>0</v>
      </c>
      <c r="O10" s="644"/>
      <c r="P10" s="642">
        <f>'C1_Kalkulation'!L14</f>
        <v>0</v>
      </c>
      <c r="Q10" s="40"/>
      <c r="S10" s="628"/>
      <c r="T10" s="37"/>
      <c r="U10" s="636"/>
      <c r="V10" s="37"/>
      <c r="W10" s="4"/>
      <c r="X10" s="640"/>
    </row>
    <row r="11" spans="1:27" x14ac:dyDescent="0.2">
      <c r="A11" s="2"/>
      <c r="C11" s="639"/>
      <c r="D11" s="11" t="s">
        <v>56</v>
      </c>
      <c r="E11" s="645">
        <f>SUM(H11:P11)</f>
        <v>0</v>
      </c>
      <c r="F11" s="646" t="e">
        <f>J11+L11+N11+P11</f>
        <v>#VALUE!</v>
      </c>
      <c r="G11" s="628"/>
      <c r="H11" s="647" t="str">
        <f>IFERROR(H10*$J$6*$L$6/100,"")</f>
        <v/>
      </c>
      <c r="I11" s="40"/>
      <c r="J11" s="647" t="str">
        <f>IFERROR(J10*$J$6*$L$6/100,"")</f>
        <v/>
      </c>
      <c r="K11" s="40"/>
      <c r="L11" s="647" t="str">
        <f>IFERROR(L10*$J$6*$L$6/100,"")</f>
        <v/>
      </c>
      <c r="M11" s="628"/>
      <c r="N11" s="647" t="str">
        <f>IFERROR(N10*$J$6*$L$6/100,"")</f>
        <v/>
      </c>
      <c r="O11" s="628"/>
      <c r="P11" s="647" t="str">
        <f>IFERROR(P10*$J$6*$L$6/100,"")</f>
        <v/>
      </c>
      <c r="Q11" s="40"/>
      <c r="S11" s="628"/>
      <c r="U11" s="628"/>
      <c r="W11" s="4"/>
    </row>
    <row r="12" spans="1:27" x14ac:dyDescent="0.2">
      <c r="A12" s="2"/>
      <c r="C12" s="639"/>
      <c r="D12" s="17" t="s">
        <v>75</v>
      </c>
      <c r="E12" s="646"/>
      <c r="F12" s="646"/>
      <c r="G12" s="628"/>
      <c r="H12" s="648"/>
      <c r="I12" s="40"/>
      <c r="J12" s="649">
        <v>805</v>
      </c>
      <c r="K12" s="40"/>
      <c r="L12" s="649">
        <v>1319</v>
      </c>
      <c r="M12" s="628"/>
      <c r="N12" s="649">
        <v>1855</v>
      </c>
      <c r="O12" s="628"/>
      <c r="P12" s="649">
        <v>2096</v>
      </c>
      <c r="Q12" s="40"/>
      <c r="S12" s="628"/>
      <c r="U12" s="628"/>
      <c r="W12" s="4"/>
      <c r="X12" s="624"/>
    </row>
    <row r="13" spans="1:27" ht="9.9499999999999993" customHeight="1" x14ac:dyDescent="0.2">
      <c r="A13" s="2"/>
      <c r="E13" s="628"/>
      <c r="F13" s="650"/>
      <c r="G13" s="651"/>
      <c r="I13" s="651"/>
      <c r="K13" s="651"/>
      <c r="M13" s="651"/>
      <c r="O13" s="628"/>
      <c r="Q13" s="40"/>
      <c r="S13" s="628"/>
      <c r="U13" s="628"/>
      <c r="W13" s="4"/>
      <c r="X13" s="624"/>
    </row>
    <row r="14" spans="1:27" ht="39.950000000000003" customHeight="1" x14ac:dyDescent="0.2">
      <c r="A14" s="2"/>
      <c r="C14" s="601"/>
      <c r="D14" s="652"/>
      <c r="E14" s="653"/>
      <c r="F14" s="653"/>
      <c r="G14" s="654" t="s">
        <v>76</v>
      </c>
      <c r="H14" s="655" t="s">
        <v>151</v>
      </c>
      <c r="I14" s="654" t="s">
        <v>77</v>
      </c>
      <c r="J14" s="656" t="s">
        <v>152</v>
      </c>
      <c r="K14" s="654" t="s">
        <v>78</v>
      </c>
      <c r="L14" s="656" t="s">
        <v>153</v>
      </c>
      <c r="M14" s="654" t="s">
        <v>79</v>
      </c>
      <c r="N14" s="656" t="s">
        <v>154</v>
      </c>
      <c r="O14" s="654" t="s">
        <v>80</v>
      </c>
      <c r="P14" s="656" t="s">
        <v>155</v>
      </c>
      <c r="Q14" s="654" t="s">
        <v>81</v>
      </c>
      <c r="R14" s="656" t="s">
        <v>156</v>
      </c>
      <c r="S14" s="654" t="s">
        <v>82</v>
      </c>
      <c r="T14" s="655" t="s">
        <v>157</v>
      </c>
      <c r="U14" s="654" t="s">
        <v>143</v>
      </c>
      <c r="V14" s="655" t="s">
        <v>158</v>
      </c>
      <c r="W14" s="4"/>
      <c r="X14" s="624"/>
    </row>
    <row r="15" spans="1:27" x14ac:dyDescent="0.2">
      <c r="A15" s="2"/>
      <c r="B15" s="657"/>
      <c r="C15" s="657"/>
      <c r="D15" s="658" t="s">
        <v>83</v>
      </c>
      <c r="E15" s="659" t="s">
        <v>84</v>
      </c>
      <c r="F15" s="659" t="s">
        <v>140</v>
      </c>
      <c r="G15" s="660" t="s">
        <v>85</v>
      </c>
      <c r="H15" s="865" t="s">
        <v>474</v>
      </c>
      <c r="I15" s="661" t="s">
        <v>85</v>
      </c>
      <c r="J15" s="866" t="s">
        <v>474</v>
      </c>
      <c r="K15" s="660" t="s">
        <v>85</v>
      </c>
      <c r="L15" s="865" t="s">
        <v>474</v>
      </c>
      <c r="M15" s="660" t="s">
        <v>85</v>
      </c>
      <c r="N15" s="865" t="s">
        <v>474</v>
      </c>
      <c r="O15" s="660" t="s">
        <v>85</v>
      </c>
      <c r="P15" s="865" t="s">
        <v>474</v>
      </c>
      <c r="Q15" s="660" t="s">
        <v>85</v>
      </c>
      <c r="R15" s="865" t="s">
        <v>474</v>
      </c>
      <c r="S15" s="660" t="s">
        <v>85</v>
      </c>
      <c r="T15" s="865" t="s">
        <v>474</v>
      </c>
      <c r="U15" s="660" t="s">
        <v>85</v>
      </c>
      <c r="V15" s="865" t="s">
        <v>474</v>
      </c>
      <c r="W15" s="4"/>
      <c r="X15" s="640"/>
    </row>
    <row r="16" spans="1:27" x14ac:dyDescent="0.2">
      <c r="A16" s="2"/>
      <c r="B16" s="662" t="s">
        <v>86</v>
      </c>
      <c r="C16" s="662" t="s">
        <v>213</v>
      </c>
      <c r="D16" s="663" t="str">
        <f>IF(SUM(D17:D18,D20:D24)=0,"",SUM(D17:D18,D20:D24))</f>
        <v/>
      </c>
      <c r="E16" s="664" t="e">
        <f>G16+I16+K16+M16+O16+Q16</f>
        <v>#DIV/0!</v>
      </c>
      <c r="F16" s="665"/>
      <c r="G16" s="666" t="e">
        <f>SUM(G17:G24)</f>
        <v>#DIV/0!</v>
      </c>
      <c r="H16" s="667" t="e">
        <f t="shared" ref="H16:P16" si="0">SUM(H17:H24)</f>
        <v>#DIV/0!</v>
      </c>
      <c r="I16" s="668" t="e">
        <f>SUM(I17:I24)</f>
        <v>#DIV/0!</v>
      </c>
      <c r="J16" s="667" t="e">
        <f t="shared" si="0"/>
        <v>#DIV/0!</v>
      </c>
      <c r="K16" s="669" t="e">
        <f t="shared" si="0"/>
        <v>#DIV/0!</v>
      </c>
      <c r="L16" s="670" t="e">
        <f t="shared" si="0"/>
        <v>#DIV/0!</v>
      </c>
      <c r="M16" s="669" t="e">
        <f t="shared" si="0"/>
        <v>#DIV/0!</v>
      </c>
      <c r="N16" s="670" t="e">
        <f t="shared" si="0"/>
        <v>#DIV/0!</v>
      </c>
      <c r="O16" s="669" t="e">
        <f t="shared" si="0"/>
        <v>#DIV/0!</v>
      </c>
      <c r="P16" s="670" t="e">
        <f t="shared" si="0"/>
        <v>#DIV/0!</v>
      </c>
      <c r="Q16" s="669">
        <f>SUM(Q20:Q24)</f>
        <v>0</v>
      </c>
      <c r="R16" s="670" t="e">
        <f>SUM(R20:R24)</f>
        <v>#VALUE!</v>
      </c>
      <c r="S16" s="671"/>
      <c r="T16" s="672"/>
      <c r="U16" s="671"/>
      <c r="V16" s="672"/>
      <c r="W16" s="4"/>
    </row>
    <row r="17" spans="1:24" x14ac:dyDescent="0.2">
      <c r="A17" s="2"/>
      <c r="B17" s="673" t="s">
        <v>87</v>
      </c>
      <c r="C17" s="674" t="s">
        <v>138</v>
      </c>
      <c r="D17" s="675">
        <f>IF(('C1_Kalkulation'!L26*'C1_Kalkulation'!J26)=0,0,('C1_Kalkulation'!L26*'C1_Kalkulation'!J26))</f>
        <v>0</v>
      </c>
      <c r="E17" s="665" t="e">
        <f>G17+I17+K17+M17+O17</f>
        <v>#DIV/0!</v>
      </c>
      <c r="F17" s="665">
        <v>1</v>
      </c>
      <c r="G17" s="676" t="e">
        <f>IF('C1_Allgemeine Angaben'!D7&lt;&gt;"vst",$D17*$F17/'C1_Kalkulation'!J26*'C1_Kalkulation'!H14/'C1_Kalkulation'!I20,'C1_Gesamtkalkulation'!$D$17*$F17*KAT!E69)</f>
        <v>#DIV/0!</v>
      </c>
      <c r="H17" s="677" t="e">
        <f>G17/$H$11</f>
        <v>#DIV/0!</v>
      </c>
      <c r="I17" s="676" t="e">
        <f>IF('C1_Allgemeine Angaben'!D7&lt;&gt;"vst",$D17*$F17/'C1_Kalkulation'!J26*'C1_Kalkulation'!I14/'C1_Kalkulation'!I21,'C1_Gesamtkalkulation'!$D$17*$F17*KAT!E70)</f>
        <v>#DIV/0!</v>
      </c>
      <c r="J17" s="677" t="e">
        <f>I17/$J$11</f>
        <v>#DIV/0!</v>
      </c>
      <c r="K17" s="676" t="e">
        <f>IF('C1_Allgemeine Angaben'!D7&lt;&gt;"vst",$D17*$F17/'C1_Kalkulation'!J26*'C1_Kalkulation'!J14/'C1_Kalkulation'!I22,'C1_Gesamtkalkulation'!D17*$F17*KAT!E71)</f>
        <v>#DIV/0!</v>
      </c>
      <c r="L17" s="677" t="e">
        <f t="shared" ref="L17:L24" si="1">K17/$L$11</f>
        <v>#DIV/0!</v>
      </c>
      <c r="M17" s="676" t="e">
        <f>IF('C1_Allgemeine Angaben'!D7&lt;&gt;"vst",$D17*$F17/'C1_Kalkulation'!J26*'C1_Kalkulation'!K14/'C1_Kalkulation'!I23,'C1_Gesamtkalkulation'!$D$17*$F17*KAT!E72)</f>
        <v>#DIV/0!</v>
      </c>
      <c r="N17" s="677" t="e">
        <f t="shared" ref="N17:N24" si="2">M17/$N$11</f>
        <v>#DIV/0!</v>
      </c>
      <c r="O17" s="676" t="e">
        <f>IF('C1_Allgemeine Angaben'!D7&lt;&gt;"vst",$D17*$F17/'C1_Kalkulation'!J26*'C1_Kalkulation'!L14/'C1_Kalkulation'!I24,'C1_Gesamtkalkulation'!$D$17*$F17*KAT!E73)</f>
        <v>#DIV/0!</v>
      </c>
      <c r="P17" s="677" t="e">
        <f t="shared" ref="P17:P24" si="3">O17/$P$11</f>
        <v>#DIV/0!</v>
      </c>
      <c r="Q17" s="678"/>
      <c r="R17" s="679"/>
      <c r="S17" s="671"/>
      <c r="T17" s="672"/>
      <c r="U17" s="671"/>
      <c r="V17" s="672"/>
      <c r="W17" s="4"/>
      <c r="X17" s="600"/>
    </row>
    <row r="18" spans="1:24" x14ac:dyDescent="0.2">
      <c r="A18" s="2"/>
      <c r="B18" s="673" t="s">
        <v>88</v>
      </c>
      <c r="C18" s="674" t="s">
        <v>139</v>
      </c>
      <c r="D18" s="675">
        <f>IF(('C1_Kalkulation'!L27*'C1_Kalkulation'!J27)=0,0,('C1_Kalkulation'!L27*'C1_Kalkulation'!J27))</f>
        <v>0</v>
      </c>
      <c r="E18" s="665" t="e">
        <f>G18+I18+K18+M18+O18+Q18</f>
        <v>#VALUE!</v>
      </c>
      <c r="F18" s="665">
        <v>1</v>
      </c>
      <c r="G18" s="676" t="e">
        <f>D18*F18/$N$6*$H$11</f>
        <v>#VALUE!</v>
      </c>
      <c r="H18" s="680" t="e">
        <f>G18/$H$11</f>
        <v>#VALUE!</v>
      </c>
      <c r="I18" s="681" t="e">
        <f>D18*F18/$N$6*$J$11</f>
        <v>#VALUE!</v>
      </c>
      <c r="J18" s="680" t="e">
        <f>I18/$J$11</f>
        <v>#VALUE!</v>
      </c>
      <c r="K18" s="682" t="e">
        <f>D18*F18/$N$6*$L$11</f>
        <v>#VALUE!</v>
      </c>
      <c r="L18" s="680" t="e">
        <f t="shared" si="1"/>
        <v>#VALUE!</v>
      </c>
      <c r="M18" s="682" t="e">
        <f>D18*F18/$N$6*$N$11</f>
        <v>#VALUE!</v>
      </c>
      <c r="N18" s="680" t="e">
        <f t="shared" si="2"/>
        <v>#VALUE!</v>
      </c>
      <c r="O18" s="682" t="e">
        <f>D18*F18/$N$6*$P$11</f>
        <v>#VALUE!</v>
      </c>
      <c r="P18" s="680" t="e">
        <f t="shared" si="3"/>
        <v>#VALUE!</v>
      </c>
      <c r="Q18" s="683"/>
      <c r="R18" s="672"/>
      <c r="S18" s="671"/>
      <c r="T18" s="672"/>
      <c r="U18" s="671"/>
      <c r="V18" s="672"/>
      <c r="W18" s="4"/>
    </row>
    <row r="19" spans="1:24" x14ac:dyDescent="0.2">
      <c r="A19" s="2"/>
      <c r="B19" s="673" t="s">
        <v>89</v>
      </c>
      <c r="C19" s="674" t="s">
        <v>309</v>
      </c>
      <c r="D19" s="675">
        <f>IF(('C1_Kalkulation'!L34*'C1_Kalkulation'!J34)=0,0,('C1_Kalkulation'!L34*'C1_Kalkulation'!J34))</f>
        <v>0</v>
      </c>
      <c r="E19" s="665"/>
      <c r="F19" s="665"/>
      <c r="G19" s="676"/>
      <c r="H19" s="684"/>
      <c r="I19" s="684"/>
      <c r="J19" s="684"/>
      <c r="K19" s="684"/>
      <c r="L19" s="684"/>
      <c r="M19" s="684"/>
      <c r="N19" s="684"/>
      <c r="O19" s="684"/>
      <c r="P19" s="684"/>
      <c r="Q19" s="685"/>
      <c r="R19" s="686"/>
      <c r="S19" s="686"/>
      <c r="T19" s="686"/>
      <c r="U19" s="687">
        <f>D19</f>
        <v>0</v>
      </c>
      <c r="V19" s="688" t="e">
        <f>U19/$N$8</f>
        <v>#VALUE!</v>
      </c>
      <c r="W19" s="4"/>
      <c r="X19" s="689"/>
    </row>
    <row r="20" spans="1:24" x14ac:dyDescent="0.2">
      <c r="A20" s="2"/>
      <c r="B20" s="673" t="s">
        <v>90</v>
      </c>
      <c r="C20" s="674" t="s">
        <v>310</v>
      </c>
      <c r="D20" s="675">
        <f>IF(('C1_Kalkulation'!L29*'C1_Kalkulation'!J29)=0,0,('C1_Kalkulation'!L29*'C1_Kalkulation'!J29))</f>
        <v>0</v>
      </c>
      <c r="E20" s="665" t="e">
        <f>G20+I20+K20+M20+O20+Q20</f>
        <v>#VALUE!</v>
      </c>
      <c r="F20" s="665">
        <v>0.5</v>
      </c>
      <c r="G20" s="676" t="e">
        <f>D20*F20/$N$6*$H$11</f>
        <v>#VALUE!</v>
      </c>
      <c r="H20" s="690" t="e">
        <f>G20/$H$11</f>
        <v>#VALUE!</v>
      </c>
      <c r="I20" s="691" t="e">
        <f>D20*F20/$N$6*$J$11</f>
        <v>#VALUE!</v>
      </c>
      <c r="J20" s="690" t="e">
        <f>I20/$J$11</f>
        <v>#VALUE!</v>
      </c>
      <c r="K20" s="692" t="e">
        <f>D20*F20/$N$6*$L$11</f>
        <v>#VALUE!</v>
      </c>
      <c r="L20" s="690" t="e">
        <f>K20/$L$11</f>
        <v>#VALUE!</v>
      </c>
      <c r="M20" s="692" t="e">
        <f>D20*F20/$N$6*$N$11</f>
        <v>#VALUE!</v>
      </c>
      <c r="N20" s="690" t="e">
        <f t="shared" si="2"/>
        <v>#VALUE!</v>
      </c>
      <c r="O20" s="692" t="e">
        <f>D20*F20/$N$6*$P$11</f>
        <v>#VALUE!</v>
      </c>
      <c r="P20" s="690" t="e">
        <f>O20/$P$11</f>
        <v>#VALUE!</v>
      </c>
      <c r="Q20" s="692">
        <f>D20*F20</f>
        <v>0</v>
      </c>
      <c r="R20" s="690" t="e">
        <f>Q20/$N$6</f>
        <v>#VALUE!</v>
      </c>
      <c r="S20" s="671"/>
      <c r="T20" s="672"/>
      <c r="U20" s="671"/>
      <c r="V20" s="672"/>
      <c r="W20" s="4"/>
    </row>
    <row r="21" spans="1:24" x14ac:dyDescent="0.2">
      <c r="A21" s="2"/>
      <c r="B21" s="693" t="s">
        <v>91</v>
      </c>
      <c r="C21" s="674" t="s">
        <v>62</v>
      </c>
      <c r="D21" s="675">
        <f>IF(('C1_Kalkulation'!L30*'C1_Kalkulation'!J30)=0,0,('C1_Kalkulation'!L30*'C1_Kalkulation'!J30))</f>
        <v>0</v>
      </c>
      <c r="E21" s="665" t="e">
        <f>G21+I21+K21+M21+O21+Q21</f>
        <v>#VALUE!</v>
      </c>
      <c r="F21" s="665">
        <v>0.5</v>
      </c>
      <c r="G21" s="676" t="e">
        <f>D21*F21/$N$6*$H$11</f>
        <v>#VALUE!</v>
      </c>
      <c r="H21" s="677" t="e">
        <f>G21/$H$11</f>
        <v>#VALUE!</v>
      </c>
      <c r="I21" s="694" t="e">
        <f>D21*F21/$N$6*$J$11</f>
        <v>#VALUE!</v>
      </c>
      <c r="J21" s="677" t="e">
        <f>I21/$J$11</f>
        <v>#VALUE!</v>
      </c>
      <c r="K21" s="676" t="e">
        <f>D21*F21/$N$6*$L$11</f>
        <v>#VALUE!</v>
      </c>
      <c r="L21" s="677" t="e">
        <f>K21/$L$11</f>
        <v>#VALUE!</v>
      </c>
      <c r="M21" s="676" t="e">
        <f>D21*F21/$N$6*$N$11</f>
        <v>#VALUE!</v>
      </c>
      <c r="N21" s="677" t="e">
        <f t="shared" si="2"/>
        <v>#VALUE!</v>
      </c>
      <c r="O21" s="676" t="e">
        <f>D21*F21/$N$6*$P$11</f>
        <v>#VALUE!</v>
      </c>
      <c r="P21" s="677" t="e">
        <f t="shared" si="3"/>
        <v>#VALUE!</v>
      </c>
      <c r="Q21" s="676">
        <f>D21*F21</f>
        <v>0</v>
      </c>
      <c r="R21" s="677" t="e">
        <f t="shared" ref="R21:R24" si="4">Q21/$N$6</f>
        <v>#VALUE!</v>
      </c>
      <c r="S21" s="671"/>
      <c r="T21" s="672"/>
      <c r="U21" s="671"/>
      <c r="V21" s="672"/>
      <c r="W21" s="4"/>
      <c r="X21" s="695"/>
    </row>
    <row r="22" spans="1:24" x14ac:dyDescent="0.2">
      <c r="A22" s="2"/>
      <c r="B22" s="673" t="s">
        <v>92</v>
      </c>
      <c r="C22" s="674" t="s">
        <v>32</v>
      </c>
      <c r="D22" s="675">
        <f>IF(('C1_Kalkulation'!L31*'C1_Kalkulation'!J31)=0,0,('C1_Kalkulation'!L31*'C1_Kalkulation'!J31))</f>
        <v>0</v>
      </c>
      <c r="E22" s="665" t="e">
        <f>G22+I22+K22+M22+O22+Q22</f>
        <v>#VALUE!</v>
      </c>
      <c r="F22" s="665">
        <v>0.5</v>
      </c>
      <c r="G22" s="676" t="e">
        <f>D22*F22/$N$6*$H$11</f>
        <v>#VALUE!</v>
      </c>
      <c r="H22" s="677" t="e">
        <f>G22/$H$11</f>
        <v>#VALUE!</v>
      </c>
      <c r="I22" s="694" t="e">
        <f>D22*F22/$N$6*$J$11</f>
        <v>#VALUE!</v>
      </c>
      <c r="J22" s="677" t="e">
        <f>I22/$J$11</f>
        <v>#VALUE!</v>
      </c>
      <c r="K22" s="676" t="e">
        <f>D22*F22/$N$6*$L$11</f>
        <v>#VALUE!</v>
      </c>
      <c r="L22" s="677" t="e">
        <f t="shared" si="1"/>
        <v>#VALUE!</v>
      </c>
      <c r="M22" s="676" t="e">
        <f>D22*F22/$N$6*$N$11</f>
        <v>#VALUE!</v>
      </c>
      <c r="N22" s="677" t="e">
        <f t="shared" si="2"/>
        <v>#VALUE!</v>
      </c>
      <c r="O22" s="676" t="e">
        <f>D22*F22/$N$6*$P$11</f>
        <v>#VALUE!</v>
      </c>
      <c r="P22" s="677" t="e">
        <f t="shared" si="3"/>
        <v>#VALUE!</v>
      </c>
      <c r="Q22" s="676">
        <f>D22*F22</f>
        <v>0</v>
      </c>
      <c r="R22" s="677" t="e">
        <f t="shared" si="4"/>
        <v>#VALUE!</v>
      </c>
      <c r="S22" s="671"/>
      <c r="T22" s="672"/>
      <c r="U22" s="671"/>
      <c r="V22" s="672"/>
      <c r="W22" s="4"/>
    </row>
    <row r="23" spans="1:24" x14ac:dyDescent="0.2">
      <c r="A23" s="2"/>
      <c r="B23" s="673" t="s">
        <v>93</v>
      </c>
      <c r="C23" s="674" t="s">
        <v>33</v>
      </c>
      <c r="D23" s="675">
        <f>IF(('C1_Kalkulation'!L32*'C1_Kalkulation'!J32)=0,0,('C1_Kalkulation'!L32*'C1_Kalkulation'!J32))</f>
        <v>0</v>
      </c>
      <c r="E23" s="665" t="e">
        <f>G23+I23+K23+M23+O23+Q23</f>
        <v>#VALUE!</v>
      </c>
      <c r="F23" s="665">
        <v>0.5</v>
      </c>
      <c r="G23" s="676" t="e">
        <f>D23*F23/$N$6*$H$11</f>
        <v>#VALUE!</v>
      </c>
      <c r="H23" s="677" t="e">
        <f>G23/$H$11</f>
        <v>#VALUE!</v>
      </c>
      <c r="I23" s="694" t="e">
        <f>D23*F23/$N$6*$J$11</f>
        <v>#VALUE!</v>
      </c>
      <c r="J23" s="677" t="e">
        <f>I23/$J$11</f>
        <v>#VALUE!</v>
      </c>
      <c r="K23" s="676" t="e">
        <f>D23*F23/$N$6*$L$11</f>
        <v>#VALUE!</v>
      </c>
      <c r="L23" s="677" t="e">
        <f t="shared" si="1"/>
        <v>#VALUE!</v>
      </c>
      <c r="M23" s="676" t="e">
        <f>D23*F23/$N$6*$N$11</f>
        <v>#VALUE!</v>
      </c>
      <c r="N23" s="677" t="e">
        <f t="shared" si="2"/>
        <v>#VALUE!</v>
      </c>
      <c r="O23" s="676" t="e">
        <f>D23*F23/$N$6*$P$11</f>
        <v>#VALUE!</v>
      </c>
      <c r="P23" s="677" t="e">
        <f t="shared" si="3"/>
        <v>#VALUE!</v>
      </c>
      <c r="Q23" s="676">
        <f>D23*F23</f>
        <v>0</v>
      </c>
      <c r="R23" s="677" t="e">
        <f t="shared" si="4"/>
        <v>#VALUE!</v>
      </c>
      <c r="S23" s="671"/>
      <c r="T23" s="672"/>
      <c r="U23" s="671"/>
      <c r="V23" s="672"/>
      <c r="W23" s="4"/>
    </row>
    <row r="24" spans="1:24" x14ac:dyDescent="0.2">
      <c r="A24" s="2"/>
      <c r="B24" s="673" t="s">
        <v>103</v>
      </c>
      <c r="C24" s="696" t="s">
        <v>214</v>
      </c>
      <c r="D24" s="675">
        <f>'C1_Kalkulation'!L33*'C1_Kalkulation'!J33</f>
        <v>0</v>
      </c>
      <c r="E24" s="665" t="e">
        <f>G24+I24+K24+M24+O24+Q24</f>
        <v>#VALUE!</v>
      </c>
      <c r="F24" s="665">
        <v>0.5</v>
      </c>
      <c r="G24" s="676" t="e">
        <f>D24*F24/$N$6*$H$11</f>
        <v>#VALUE!</v>
      </c>
      <c r="H24" s="677" t="e">
        <f>G24/$H$11</f>
        <v>#VALUE!</v>
      </c>
      <c r="I24" s="694" t="e">
        <f>D24*F24/$N$6*$J$11</f>
        <v>#VALUE!</v>
      </c>
      <c r="J24" s="677" t="e">
        <f>I24/$J$11</f>
        <v>#VALUE!</v>
      </c>
      <c r="K24" s="676" t="e">
        <f>D24*F24/$N$6*$L$11</f>
        <v>#VALUE!</v>
      </c>
      <c r="L24" s="677" t="e">
        <f t="shared" si="1"/>
        <v>#VALUE!</v>
      </c>
      <c r="M24" s="676" t="e">
        <f>D24*F24/$N$6*$N$11</f>
        <v>#VALUE!</v>
      </c>
      <c r="N24" s="677" t="e">
        <f t="shared" si="2"/>
        <v>#VALUE!</v>
      </c>
      <c r="O24" s="676" t="e">
        <f>D24*F24/$N$6*$P$11</f>
        <v>#VALUE!</v>
      </c>
      <c r="P24" s="677" t="e">
        <f t="shared" si="3"/>
        <v>#VALUE!</v>
      </c>
      <c r="Q24" s="676">
        <f>D24*F24</f>
        <v>0</v>
      </c>
      <c r="R24" s="677" t="e">
        <f t="shared" si="4"/>
        <v>#VALUE!</v>
      </c>
      <c r="S24" s="671"/>
      <c r="T24" s="672"/>
      <c r="U24" s="671"/>
      <c r="V24" s="672"/>
      <c r="W24" s="4"/>
      <c r="X24" s="606"/>
    </row>
    <row r="25" spans="1:24" x14ac:dyDescent="0.2">
      <c r="A25" s="2"/>
      <c r="C25" s="697"/>
      <c r="D25" s="698"/>
      <c r="E25" s="699"/>
      <c r="F25" s="699"/>
      <c r="G25" s="687"/>
      <c r="H25" s="672"/>
      <c r="I25" s="687"/>
      <c r="J25" s="672"/>
      <c r="K25" s="687"/>
      <c r="L25" s="672"/>
      <c r="M25" s="687"/>
      <c r="N25" s="672"/>
      <c r="O25" s="687"/>
      <c r="P25" s="672"/>
      <c r="Q25" s="687"/>
      <c r="R25" s="672"/>
      <c r="S25" s="671"/>
      <c r="T25" s="672"/>
      <c r="U25" s="671"/>
      <c r="V25" s="672"/>
      <c r="W25" s="4"/>
    </row>
    <row r="26" spans="1:24" x14ac:dyDescent="0.2">
      <c r="A26" s="2"/>
      <c r="B26" s="700" t="s">
        <v>31</v>
      </c>
      <c r="C26" s="662" t="s">
        <v>94</v>
      </c>
      <c r="D26" s="663">
        <f>SUM(D27:D36)</f>
        <v>0</v>
      </c>
      <c r="E26" s="665" t="e">
        <f>G26+I26+K26+M26+O26+Q26+S26</f>
        <v>#VALUE!</v>
      </c>
      <c r="F26" s="665"/>
      <c r="G26" s="666" t="e">
        <f t="shared" ref="G26:L26" si="5">SUM(G28:G36)</f>
        <v>#VALUE!</v>
      </c>
      <c r="H26" s="667" t="e">
        <f t="shared" si="5"/>
        <v>#VALUE!</v>
      </c>
      <c r="I26" s="668" t="e">
        <f t="shared" si="5"/>
        <v>#VALUE!</v>
      </c>
      <c r="J26" s="667" t="e">
        <f t="shared" si="5"/>
        <v>#VALUE!</v>
      </c>
      <c r="K26" s="666" t="e">
        <f t="shared" si="5"/>
        <v>#VALUE!</v>
      </c>
      <c r="L26" s="667" t="e">
        <f t="shared" si="5"/>
        <v>#VALUE!</v>
      </c>
      <c r="M26" s="666" t="e">
        <f t="shared" ref="M26:P26" si="6">SUM(M28:M36)</f>
        <v>#VALUE!</v>
      </c>
      <c r="N26" s="667" t="e">
        <f t="shared" si="6"/>
        <v>#VALUE!</v>
      </c>
      <c r="O26" s="666" t="e">
        <f t="shared" si="6"/>
        <v>#VALUE!</v>
      </c>
      <c r="P26" s="667" t="e">
        <f t="shared" si="6"/>
        <v>#VALUE!</v>
      </c>
      <c r="Q26" s="669">
        <f>SUM(Q29:Q36)</f>
        <v>0</v>
      </c>
      <c r="R26" s="670" t="e">
        <f>SUM(R29:R36)</f>
        <v>#VALUE!</v>
      </c>
      <c r="S26" s="669">
        <f>SUM(S27:S36)</f>
        <v>0</v>
      </c>
      <c r="T26" s="670" t="e">
        <f>SUM(T27:T36)</f>
        <v>#VALUE!</v>
      </c>
      <c r="U26" s="701"/>
      <c r="V26" s="672"/>
      <c r="W26" s="4"/>
    </row>
    <row r="27" spans="1:24" x14ac:dyDescent="0.2">
      <c r="A27" s="2"/>
      <c r="B27" s="702" t="s">
        <v>37</v>
      </c>
      <c r="C27" s="703" t="s">
        <v>38</v>
      </c>
      <c r="D27" s="675">
        <f>'C1_Kalkulation'!L37</f>
        <v>0</v>
      </c>
      <c r="E27" s="694"/>
      <c r="F27" s="694"/>
      <c r="G27" s="704"/>
      <c r="H27" s="684"/>
      <c r="I27" s="694"/>
      <c r="J27" s="684"/>
      <c r="K27" s="694"/>
      <c r="L27" s="684"/>
      <c r="M27" s="694"/>
      <c r="N27" s="684"/>
      <c r="O27" s="694"/>
      <c r="P27" s="684"/>
      <c r="Q27" s="694"/>
      <c r="R27" s="705"/>
      <c r="S27" s="676">
        <f>D27</f>
        <v>0</v>
      </c>
      <c r="T27" s="690" t="e">
        <f>S27/$N$6</f>
        <v>#VALUE!</v>
      </c>
      <c r="U27" s="687"/>
      <c r="V27" s="672"/>
      <c r="W27" s="4"/>
    </row>
    <row r="28" spans="1:24" x14ac:dyDescent="0.2">
      <c r="A28" s="2"/>
      <c r="B28" s="702" t="s">
        <v>39</v>
      </c>
      <c r="C28" s="703" t="s">
        <v>40</v>
      </c>
      <c r="D28" s="675">
        <f>'C1_Kalkulation'!L38</f>
        <v>0</v>
      </c>
      <c r="E28" s="665" t="e">
        <f>G28+I28+K28+M28+O28+Q28+S28</f>
        <v>#VALUE!</v>
      </c>
      <c r="F28" s="665">
        <v>1</v>
      </c>
      <c r="G28" s="676" t="e">
        <f>D28*F28/$N$6*$H$11</f>
        <v>#VALUE!</v>
      </c>
      <c r="H28" s="677" t="e">
        <f t="shared" ref="H28:H35" si="7">G28/$H$11</f>
        <v>#VALUE!</v>
      </c>
      <c r="I28" s="694" t="e">
        <f>D28*F28/$N$6*$J$11</f>
        <v>#VALUE!</v>
      </c>
      <c r="J28" s="677" t="e">
        <f t="shared" ref="J28:J36" si="8">I28/$J$11</f>
        <v>#VALUE!</v>
      </c>
      <c r="K28" s="676" t="e">
        <f>D28*F28/$N$6*$L$11</f>
        <v>#VALUE!</v>
      </c>
      <c r="L28" s="677" t="e">
        <f t="shared" ref="L28:L36" si="9">K28/$L$11</f>
        <v>#VALUE!</v>
      </c>
      <c r="M28" s="676" t="e">
        <f>D28*F28/$N$6*$N$11</f>
        <v>#VALUE!</v>
      </c>
      <c r="N28" s="677" t="e">
        <f t="shared" ref="N28:N36" si="10">M28/$N$11</f>
        <v>#VALUE!</v>
      </c>
      <c r="O28" s="676" t="e">
        <f>D28*F28/$N$6*$P$11</f>
        <v>#VALUE!</v>
      </c>
      <c r="P28" s="677" t="e">
        <f t="shared" ref="P28:P36" si="11">O28/$P$11</f>
        <v>#VALUE!</v>
      </c>
      <c r="Q28" s="706"/>
      <c r="R28" s="686"/>
      <c r="S28" s="707"/>
      <c r="T28" s="672"/>
      <c r="U28" s="671"/>
      <c r="V28" s="672"/>
      <c r="W28" s="4"/>
    </row>
    <row r="29" spans="1:24" x14ac:dyDescent="0.2">
      <c r="A29" s="2"/>
      <c r="B29" s="702" t="s">
        <v>41</v>
      </c>
      <c r="C29" s="708" t="s">
        <v>311</v>
      </c>
      <c r="D29" s="675">
        <f>'C1_Kalkulation'!L39</f>
        <v>0</v>
      </c>
      <c r="E29" s="665" t="e">
        <f t="shared" ref="E29:E35" si="12">G29+I29+K29+M29+O29+Q29+S29</f>
        <v>#VALUE!</v>
      </c>
      <c r="F29" s="665">
        <v>0.5</v>
      </c>
      <c r="G29" s="676" t="e">
        <f t="shared" ref="G29:G35" si="13">D29*F29/$N$6*$H$11</f>
        <v>#VALUE!</v>
      </c>
      <c r="H29" s="677" t="e">
        <f t="shared" si="7"/>
        <v>#VALUE!</v>
      </c>
      <c r="I29" s="694" t="e">
        <f t="shared" ref="I29:I36" si="14">D29*F29/$N$6*$J$11</f>
        <v>#VALUE!</v>
      </c>
      <c r="J29" s="677" t="e">
        <f t="shared" si="8"/>
        <v>#VALUE!</v>
      </c>
      <c r="K29" s="676" t="e">
        <f t="shared" ref="K29:K36" si="15">D29*F29/$N$6*$L$11</f>
        <v>#VALUE!</v>
      </c>
      <c r="L29" s="677" t="e">
        <f t="shared" si="9"/>
        <v>#VALUE!</v>
      </c>
      <c r="M29" s="676" t="e">
        <f t="shared" ref="M29:M36" si="16">D29*F29/$N$6*$N$11</f>
        <v>#VALUE!</v>
      </c>
      <c r="N29" s="677" t="e">
        <f t="shared" si="10"/>
        <v>#VALUE!</v>
      </c>
      <c r="O29" s="676" t="e">
        <f t="shared" ref="O29:O36" si="17">D29*F29/$N$6*$P$11</f>
        <v>#VALUE!</v>
      </c>
      <c r="P29" s="677" t="e">
        <f t="shared" si="11"/>
        <v>#VALUE!</v>
      </c>
      <c r="Q29" s="676">
        <f>D29*F29</f>
        <v>0</v>
      </c>
      <c r="R29" s="677" t="e">
        <f>Q29/$N$6</f>
        <v>#VALUE!</v>
      </c>
      <c r="S29" s="709"/>
      <c r="T29" s="672"/>
      <c r="U29" s="671"/>
      <c r="V29" s="672"/>
      <c r="W29" s="4"/>
    </row>
    <row r="30" spans="1:24" x14ac:dyDescent="0.2">
      <c r="A30" s="2"/>
      <c r="B30" s="702" t="s">
        <v>42</v>
      </c>
      <c r="C30" s="703" t="s">
        <v>43</v>
      </c>
      <c r="D30" s="675">
        <f>'C1_Kalkulation'!L40</f>
        <v>0</v>
      </c>
      <c r="E30" s="665" t="e">
        <f t="shared" si="12"/>
        <v>#VALUE!</v>
      </c>
      <c r="F30" s="665">
        <v>0.5</v>
      </c>
      <c r="G30" s="676" t="e">
        <f t="shared" si="13"/>
        <v>#VALUE!</v>
      </c>
      <c r="H30" s="677" t="e">
        <f t="shared" si="7"/>
        <v>#VALUE!</v>
      </c>
      <c r="I30" s="694" t="e">
        <f t="shared" si="14"/>
        <v>#VALUE!</v>
      </c>
      <c r="J30" s="677" t="e">
        <f t="shared" si="8"/>
        <v>#VALUE!</v>
      </c>
      <c r="K30" s="676" t="e">
        <f t="shared" si="15"/>
        <v>#VALUE!</v>
      </c>
      <c r="L30" s="677" t="e">
        <f t="shared" si="9"/>
        <v>#VALUE!</v>
      </c>
      <c r="M30" s="676" t="e">
        <f t="shared" si="16"/>
        <v>#VALUE!</v>
      </c>
      <c r="N30" s="677" t="e">
        <f t="shared" si="10"/>
        <v>#VALUE!</v>
      </c>
      <c r="O30" s="676" t="e">
        <f t="shared" si="17"/>
        <v>#VALUE!</v>
      </c>
      <c r="P30" s="677" t="e">
        <f t="shared" si="11"/>
        <v>#VALUE!</v>
      </c>
      <c r="Q30" s="676">
        <f>D30*F30</f>
        <v>0</v>
      </c>
      <c r="R30" s="677" t="e">
        <f t="shared" ref="R30:R36" si="18">Q30/$N$6</f>
        <v>#VALUE!</v>
      </c>
      <c r="S30" s="709"/>
      <c r="T30" s="672"/>
      <c r="U30" s="671"/>
      <c r="V30" s="672"/>
      <c r="W30" s="4"/>
    </row>
    <row r="31" spans="1:24" x14ac:dyDescent="0.2">
      <c r="A31" s="2"/>
      <c r="B31" s="702" t="s">
        <v>44</v>
      </c>
      <c r="C31" s="703" t="s">
        <v>45</v>
      </c>
      <c r="D31" s="675">
        <f>'C1_Kalkulation'!L41</f>
        <v>0</v>
      </c>
      <c r="E31" s="665" t="e">
        <f t="shared" si="12"/>
        <v>#VALUE!</v>
      </c>
      <c r="F31" s="665">
        <v>0.5</v>
      </c>
      <c r="G31" s="676" t="e">
        <f t="shared" si="13"/>
        <v>#VALUE!</v>
      </c>
      <c r="H31" s="677" t="e">
        <f t="shared" si="7"/>
        <v>#VALUE!</v>
      </c>
      <c r="I31" s="694" t="e">
        <f t="shared" si="14"/>
        <v>#VALUE!</v>
      </c>
      <c r="J31" s="677" t="e">
        <f t="shared" si="8"/>
        <v>#VALUE!</v>
      </c>
      <c r="K31" s="676" t="e">
        <f t="shared" si="15"/>
        <v>#VALUE!</v>
      </c>
      <c r="L31" s="677" t="e">
        <f t="shared" si="9"/>
        <v>#VALUE!</v>
      </c>
      <c r="M31" s="676" t="e">
        <f t="shared" si="16"/>
        <v>#VALUE!</v>
      </c>
      <c r="N31" s="677" t="e">
        <f t="shared" si="10"/>
        <v>#VALUE!</v>
      </c>
      <c r="O31" s="676" t="e">
        <f t="shared" si="17"/>
        <v>#VALUE!</v>
      </c>
      <c r="P31" s="677" t="e">
        <f t="shared" si="11"/>
        <v>#VALUE!</v>
      </c>
      <c r="Q31" s="676">
        <f>D31*F31</f>
        <v>0</v>
      </c>
      <c r="R31" s="677" t="e">
        <f t="shared" si="18"/>
        <v>#VALUE!</v>
      </c>
      <c r="S31" s="709"/>
      <c r="T31" s="672"/>
      <c r="U31" s="671"/>
      <c r="V31" s="672"/>
      <c r="W31" s="4"/>
    </row>
    <row r="32" spans="1:24" x14ac:dyDescent="0.2">
      <c r="A32" s="2"/>
      <c r="B32" s="702" t="s">
        <v>46</v>
      </c>
      <c r="C32" s="703" t="s">
        <v>47</v>
      </c>
      <c r="D32" s="675">
        <f>'C1_Kalkulation'!L42</f>
        <v>0</v>
      </c>
      <c r="E32" s="665" t="e">
        <f t="shared" si="12"/>
        <v>#VALUE!</v>
      </c>
      <c r="F32" s="665">
        <v>1</v>
      </c>
      <c r="G32" s="676" t="e">
        <f t="shared" si="13"/>
        <v>#VALUE!</v>
      </c>
      <c r="H32" s="677" t="e">
        <f t="shared" si="7"/>
        <v>#VALUE!</v>
      </c>
      <c r="I32" s="694" t="e">
        <f t="shared" si="14"/>
        <v>#VALUE!</v>
      </c>
      <c r="J32" s="677" t="e">
        <f t="shared" si="8"/>
        <v>#VALUE!</v>
      </c>
      <c r="K32" s="676" t="e">
        <f t="shared" si="15"/>
        <v>#VALUE!</v>
      </c>
      <c r="L32" s="677" t="e">
        <f t="shared" si="9"/>
        <v>#VALUE!</v>
      </c>
      <c r="M32" s="676" t="e">
        <f t="shared" si="16"/>
        <v>#VALUE!</v>
      </c>
      <c r="N32" s="677" t="e">
        <f t="shared" si="10"/>
        <v>#VALUE!</v>
      </c>
      <c r="O32" s="676" t="e">
        <f t="shared" si="17"/>
        <v>#VALUE!</v>
      </c>
      <c r="P32" s="677" t="e">
        <f>O32/$P$11</f>
        <v>#VALUE!</v>
      </c>
      <c r="Q32" s="706"/>
      <c r="R32" s="686"/>
      <c r="S32" s="671"/>
      <c r="T32" s="672"/>
      <c r="U32" s="671"/>
      <c r="V32" s="672"/>
      <c r="W32" s="4"/>
    </row>
    <row r="33" spans="1:25" x14ac:dyDescent="0.2">
      <c r="A33" s="2"/>
      <c r="B33" s="710" t="s">
        <v>48</v>
      </c>
      <c r="C33" s="703" t="s">
        <v>49</v>
      </c>
      <c r="D33" s="675">
        <f>'C1_Kalkulation'!L43</f>
        <v>0</v>
      </c>
      <c r="E33" s="665" t="e">
        <f t="shared" si="12"/>
        <v>#VALUE!</v>
      </c>
      <c r="F33" s="665">
        <v>0.5</v>
      </c>
      <c r="G33" s="676" t="e">
        <f t="shared" si="13"/>
        <v>#VALUE!</v>
      </c>
      <c r="H33" s="677" t="e">
        <f t="shared" si="7"/>
        <v>#VALUE!</v>
      </c>
      <c r="I33" s="694" t="e">
        <f t="shared" si="14"/>
        <v>#VALUE!</v>
      </c>
      <c r="J33" s="677" t="e">
        <f t="shared" si="8"/>
        <v>#VALUE!</v>
      </c>
      <c r="K33" s="676" t="e">
        <f t="shared" si="15"/>
        <v>#VALUE!</v>
      </c>
      <c r="L33" s="677" t="e">
        <f t="shared" si="9"/>
        <v>#VALUE!</v>
      </c>
      <c r="M33" s="676" t="e">
        <f t="shared" si="16"/>
        <v>#VALUE!</v>
      </c>
      <c r="N33" s="677" t="e">
        <f t="shared" si="10"/>
        <v>#VALUE!</v>
      </c>
      <c r="O33" s="676" t="e">
        <f t="shared" si="17"/>
        <v>#VALUE!</v>
      </c>
      <c r="P33" s="677" t="e">
        <f t="shared" si="11"/>
        <v>#VALUE!</v>
      </c>
      <c r="Q33" s="676">
        <f>D33*F33</f>
        <v>0</v>
      </c>
      <c r="R33" s="677" t="e">
        <f t="shared" si="18"/>
        <v>#VALUE!</v>
      </c>
      <c r="S33" s="709"/>
      <c r="T33" s="672"/>
      <c r="U33" s="671"/>
      <c r="V33" s="672"/>
      <c r="W33" s="4"/>
    </row>
    <row r="34" spans="1:25" x14ac:dyDescent="0.2">
      <c r="A34" s="2"/>
      <c r="B34" s="710" t="s">
        <v>50</v>
      </c>
      <c r="C34" s="703" t="s">
        <v>312</v>
      </c>
      <c r="D34" s="675">
        <f>'C1_Kalkulation'!L44</f>
        <v>0</v>
      </c>
      <c r="E34" s="665" t="e">
        <f t="shared" si="12"/>
        <v>#VALUE!</v>
      </c>
      <c r="F34" s="665">
        <v>0.5</v>
      </c>
      <c r="G34" s="676" t="e">
        <f t="shared" si="13"/>
        <v>#VALUE!</v>
      </c>
      <c r="H34" s="677" t="e">
        <f t="shared" si="7"/>
        <v>#VALUE!</v>
      </c>
      <c r="I34" s="694" t="e">
        <f t="shared" si="14"/>
        <v>#VALUE!</v>
      </c>
      <c r="J34" s="677" t="e">
        <f t="shared" si="8"/>
        <v>#VALUE!</v>
      </c>
      <c r="K34" s="676" t="e">
        <f t="shared" si="15"/>
        <v>#VALUE!</v>
      </c>
      <c r="L34" s="677" t="e">
        <f t="shared" si="9"/>
        <v>#VALUE!</v>
      </c>
      <c r="M34" s="676" t="e">
        <f t="shared" si="16"/>
        <v>#VALUE!</v>
      </c>
      <c r="N34" s="677" t="e">
        <f t="shared" si="10"/>
        <v>#VALUE!</v>
      </c>
      <c r="O34" s="676" t="e">
        <f t="shared" si="17"/>
        <v>#VALUE!</v>
      </c>
      <c r="P34" s="677" t="e">
        <f t="shared" si="11"/>
        <v>#VALUE!</v>
      </c>
      <c r="Q34" s="676">
        <f>D34*F34</f>
        <v>0</v>
      </c>
      <c r="R34" s="677" t="e">
        <f t="shared" si="18"/>
        <v>#VALUE!</v>
      </c>
      <c r="S34" s="709"/>
      <c r="T34" s="672"/>
      <c r="U34" s="671"/>
      <c r="V34" s="672"/>
      <c r="W34" s="4"/>
    </row>
    <row r="35" spans="1:25" x14ac:dyDescent="0.2">
      <c r="A35" s="2"/>
      <c r="B35" s="710" t="s">
        <v>52</v>
      </c>
      <c r="C35" s="711" t="s">
        <v>313</v>
      </c>
      <c r="D35" s="675">
        <f>'C1_Kalkulation'!L45</f>
        <v>0</v>
      </c>
      <c r="E35" s="665" t="e">
        <f t="shared" si="12"/>
        <v>#VALUE!</v>
      </c>
      <c r="F35" s="665">
        <v>0.5</v>
      </c>
      <c r="G35" s="676" t="e">
        <f t="shared" si="13"/>
        <v>#VALUE!</v>
      </c>
      <c r="H35" s="677" t="e">
        <f t="shared" si="7"/>
        <v>#VALUE!</v>
      </c>
      <c r="I35" s="694" t="e">
        <f t="shared" si="14"/>
        <v>#VALUE!</v>
      </c>
      <c r="J35" s="677" t="e">
        <f t="shared" si="8"/>
        <v>#VALUE!</v>
      </c>
      <c r="K35" s="676" t="e">
        <f t="shared" si="15"/>
        <v>#VALUE!</v>
      </c>
      <c r="L35" s="677" t="e">
        <f t="shared" si="9"/>
        <v>#VALUE!</v>
      </c>
      <c r="M35" s="676" t="e">
        <f t="shared" si="16"/>
        <v>#VALUE!</v>
      </c>
      <c r="N35" s="677" t="e">
        <f t="shared" si="10"/>
        <v>#VALUE!</v>
      </c>
      <c r="O35" s="676" t="e">
        <f t="shared" si="17"/>
        <v>#VALUE!</v>
      </c>
      <c r="P35" s="677" t="e">
        <f t="shared" si="11"/>
        <v>#VALUE!</v>
      </c>
      <c r="Q35" s="676">
        <f>D35*F35</f>
        <v>0</v>
      </c>
      <c r="R35" s="677" t="e">
        <f t="shared" si="18"/>
        <v>#VALUE!</v>
      </c>
      <c r="S35" s="709"/>
      <c r="T35" s="672"/>
      <c r="U35" s="671"/>
      <c r="V35" s="672"/>
      <c r="W35" s="4"/>
    </row>
    <row r="36" spans="1:25" x14ac:dyDescent="0.2">
      <c r="A36" s="2"/>
      <c r="B36" s="710" t="s">
        <v>54</v>
      </c>
      <c r="C36" s="887" t="s">
        <v>55</v>
      </c>
      <c r="D36" s="675">
        <f>'C1_Kalkulation'!L46</f>
        <v>0</v>
      </c>
      <c r="E36" s="723" t="e">
        <f>G36+I36+K36+M36+O36+Q36+S36</f>
        <v>#VALUE!</v>
      </c>
      <c r="F36" s="665">
        <v>0.5</v>
      </c>
      <c r="G36" s="676" t="e">
        <f>D36*F36/$N$6*$H$11</f>
        <v>#VALUE!</v>
      </c>
      <c r="H36" s="677" t="e">
        <f>G36/$H$11</f>
        <v>#VALUE!</v>
      </c>
      <c r="I36" s="694" t="e">
        <f t="shared" si="14"/>
        <v>#VALUE!</v>
      </c>
      <c r="J36" s="677" t="e">
        <f t="shared" si="8"/>
        <v>#VALUE!</v>
      </c>
      <c r="K36" s="676" t="e">
        <f t="shared" si="15"/>
        <v>#VALUE!</v>
      </c>
      <c r="L36" s="677" t="e">
        <f t="shared" si="9"/>
        <v>#VALUE!</v>
      </c>
      <c r="M36" s="676" t="e">
        <f t="shared" si="16"/>
        <v>#VALUE!</v>
      </c>
      <c r="N36" s="677" t="e">
        <f t="shared" si="10"/>
        <v>#VALUE!</v>
      </c>
      <c r="O36" s="676" t="e">
        <f t="shared" si="17"/>
        <v>#VALUE!</v>
      </c>
      <c r="P36" s="677" t="e">
        <f t="shared" si="11"/>
        <v>#VALUE!</v>
      </c>
      <c r="Q36" s="676">
        <f>D36*F36</f>
        <v>0</v>
      </c>
      <c r="R36" s="677" t="e">
        <f t="shared" si="18"/>
        <v>#VALUE!</v>
      </c>
      <c r="S36" s="709"/>
      <c r="T36" s="672"/>
      <c r="U36" s="671"/>
      <c r="V36" s="672"/>
      <c r="W36" s="4"/>
    </row>
    <row r="37" spans="1:25" x14ac:dyDescent="0.2">
      <c r="A37" s="2"/>
      <c r="D37" s="698"/>
      <c r="E37" s="699"/>
      <c r="F37" s="699"/>
      <c r="G37" s="687"/>
      <c r="H37" s="672"/>
      <c r="I37" s="687"/>
      <c r="J37" s="672"/>
      <c r="K37" s="687"/>
      <c r="L37" s="712"/>
      <c r="M37" s="687"/>
      <c r="N37" s="712"/>
      <c r="O37" s="687"/>
      <c r="P37" s="712"/>
      <c r="Q37" s="687"/>
      <c r="R37" s="672"/>
      <c r="S37" s="671"/>
      <c r="T37" s="672"/>
      <c r="U37" s="671"/>
      <c r="V37" s="672"/>
      <c r="W37" s="4"/>
    </row>
    <row r="38" spans="1:25" x14ac:dyDescent="0.2">
      <c r="A38" s="2"/>
      <c r="B38" s="713" t="s">
        <v>95</v>
      </c>
      <c r="C38" s="714" t="s">
        <v>96</v>
      </c>
      <c r="D38" s="663">
        <f t="shared" ref="D38:Q38" si="19">SUM(D39:D45)</f>
        <v>0</v>
      </c>
      <c r="E38" s="665" t="e">
        <f>SUM(E39:E45)</f>
        <v>#VALUE!</v>
      </c>
      <c r="F38" s="665"/>
      <c r="G38" s="666" t="e">
        <f t="shared" si="19"/>
        <v>#VALUE!</v>
      </c>
      <c r="H38" s="667" t="e">
        <f t="shared" si="19"/>
        <v>#VALUE!</v>
      </c>
      <c r="I38" s="668" t="e">
        <f t="shared" si="19"/>
        <v>#VALUE!</v>
      </c>
      <c r="J38" s="667" t="e">
        <f t="shared" si="19"/>
        <v>#VALUE!</v>
      </c>
      <c r="K38" s="666" t="e">
        <f t="shared" si="19"/>
        <v>#VALUE!</v>
      </c>
      <c r="L38" s="667" t="e">
        <f t="shared" si="19"/>
        <v>#VALUE!</v>
      </c>
      <c r="M38" s="666" t="e">
        <f t="shared" ref="M38:P38" si="20">SUM(M39:M45)</f>
        <v>#VALUE!</v>
      </c>
      <c r="N38" s="667" t="e">
        <f t="shared" si="20"/>
        <v>#VALUE!</v>
      </c>
      <c r="O38" s="666" t="e">
        <f t="shared" si="20"/>
        <v>#VALUE!</v>
      </c>
      <c r="P38" s="667" t="e">
        <f t="shared" si="20"/>
        <v>#VALUE!</v>
      </c>
      <c r="Q38" s="669">
        <f t="shared" si="19"/>
        <v>0</v>
      </c>
      <c r="R38" s="670" t="e">
        <f>SUM(R39:R45)</f>
        <v>#VALUE!</v>
      </c>
      <c r="S38" s="671"/>
      <c r="T38" s="672"/>
      <c r="U38" s="671"/>
      <c r="V38" s="672"/>
      <c r="W38" s="4"/>
    </row>
    <row r="39" spans="1:25" x14ac:dyDescent="0.2">
      <c r="A39" s="2"/>
      <c r="B39" s="715" t="str">
        <f>'C1_Kalkulation'!H50</f>
        <v>3.1.</v>
      </c>
      <c r="C39" s="716" t="s">
        <v>314</v>
      </c>
      <c r="D39" s="675">
        <f>'C1_Kalkulation'!L50</f>
        <v>0</v>
      </c>
      <c r="E39" s="665" t="e">
        <f t="shared" ref="E39:E45" si="21">G39+I39+K39+M39+O39+Q39</f>
        <v>#VALUE!</v>
      </c>
      <c r="F39" s="665">
        <v>0.5</v>
      </c>
      <c r="G39" s="676" t="e">
        <f>D39*F39/$N$6*$H$11</f>
        <v>#VALUE!</v>
      </c>
      <c r="H39" s="677" t="e">
        <f t="shared" ref="H39:H45" si="22">G39/$H$11</f>
        <v>#VALUE!</v>
      </c>
      <c r="I39" s="694" t="e">
        <f>D39*F39/$N$6*$J$11</f>
        <v>#VALUE!</v>
      </c>
      <c r="J39" s="677" t="e">
        <f t="shared" ref="J39:J45" si="23">I39/$J$11</f>
        <v>#VALUE!</v>
      </c>
      <c r="K39" s="676" t="e">
        <f>D39*F39/$N$6*$L$11</f>
        <v>#VALUE!</v>
      </c>
      <c r="L39" s="677" t="e">
        <f t="shared" ref="L39:L45" si="24">K39/$L$11</f>
        <v>#VALUE!</v>
      </c>
      <c r="M39" s="676" t="e">
        <f>D39*F39/$N$6*$N$11</f>
        <v>#VALUE!</v>
      </c>
      <c r="N39" s="677" t="e">
        <f t="shared" ref="N39:N45" si="25">M39/$N$11</f>
        <v>#VALUE!</v>
      </c>
      <c r="O39" s="676" t="e">
        <f>D39*F39/$N$6*$P$11</f>
        <v>#VALUE!</v>
      </c>
      <c r="P39" s="677" t="e">
        <f t="shared" ref="P39:P45" si="26">O39/$P$11</f>
        <v>#VALUE!</v>
      </c>
      <c r="Q39" s="676">
        <f>D39*F39</f>
        <v>0</v>
      </c>
      <c r="R39" s="677" t="e">
        <f>Q39/$N$6</f>
        <v>#VALUE!</v>
      </c>
      <c r="S39" s="717"/>
      <c r="T39" s="718"/>
      <c r="U39" s="719"/>
      <c r="V39" s="718"/>
      <c r="W39" s="4"/>
      <c r="X39" s="624"/>
      <c r="Y39" s="624"/>
    </row>
    <row r="40" spans="1:25" x14ac:dyDescent="0.2">
      <c r="A40" s="2"/>
      <c r="B40" s="715" t="str">
        <f>'C1_Kalkulation'!H51</f>
        <v>3.2.</v>
      </c>
      <c r="C40" s="720" t="str">
        <f>'C1_Kalkulation'!I51</f>
        <v>Wäscherei</v>
      </c>
      <c r="D40" s="675">
        <f>'C1_Kalkulation'!L51</f>
        <v>0</v>
      </c>
      <c r="E40" s="665" t="e">
        <f t="shared" si="21"/>
        <v>#VALUE!</v>
      </c>
      <c r="F40" s="665">
        <v>0.5</v>
      </c>
      <c r="G40" s="676" t="e">
        <f t="shared" ref="G40:G45" si="27">D40*F40/$N$6*$H$11</f>
        <v>#VALUE!</v>
      </c>
      <c r="H40" s="677" t="e">
        <f t="shared" si="22"/>
        <v>#VALUE!</v>
      </c>
      <c r="I40" s="694" t="e">
        <f t="shared" ref="I40:I45" si="28">D40*F40/$N$6*$J$11</f>
        <v>#VALUE!</v>
      </c>
      <c r="J40" s="677" t="e">
        <f t="shared" si="23"/>
        <v>#VALUE!</v>
      </c>
      <c r="K40" s="676" t="e">
        <f t="shared" ref="K40:K45" si="29">D40*F40/$N$6*$L$11</f>
        <v>#VALUE!</v>
      </c>
      <c r="L40" s="677" t="e">
        <f t="shared" si="24"/>
        <v>#VALUE!</v>
      </c>
      <c r="M40" s="676" t="e">
        <f t="shared" ref="M40:M45" si="30">D40*F40/$N$6*$N$11</f>
        <v>#VALUE!</v>
      </c>
      <c r="N40" s="677" t="e">
        <f t="shared" si="25"/>
        <v>#VALUE!</v>
      </c>
      <c r="O40" s="676" t="e">
        <f t="shared" ref="O40:O45" si="31">D40*F40/$N$6*$P$11</f>
        <v>#VALUE!</v>
      </c>
      <c r="P40" s="677" t="e">
        <f t="shared" si="26"/>
        <v>#VALUE!</v>
      </c>
      <c r="Q40" s="676">
        <f t="shared" ref="Q40:Q45" si="32">D40*F40</f>
        <v>0</v>
      </c>
      <c r="R40" s="677" t="e">
        <f t="shared" ref="R40:R45" si="33">Q40/$N$6</f>
        <v>#VALUE!</v>
      </c>
      <c r="S40" s="721"/>
      <c r="T40" s="718"/>
      <c r="U40" s="719"/>
      <c r="V40" s="718"/>
      <c r="W40" s="722"/>
      <c r="X40" s="624"/>
      <c r="Y40" s="624"/>
    </row>
    <row r="41" spans="1:25" x14ac:dyDescent="0.2">
      <c r="A41" s="2"/>
      <c r="B41" s="715" t="str">
        <f>'C1_Kalkulation'!H52</f>
        <v>3.3.</v>
      </c>
      <c r="C41" s="720" t="str">
        <f>'C1_Kalkulation'!I52</f>
        <v>Wäschekennzeichnung</v>
      </c>
      <c r="D41" s="675">
        <f>'C1_Kalkulation'!L52</f>
        <v>0</v>
      </c>
      <c r="E41" s="723" t="e">
        <f>G41+I41+K41+M41+O41+Q41</f>
        <v>#VALUE!</v>
      </c>
      <c r="F41" s="665">
        <v>0.5</v>
      </c>
      <c r="G41" s="676" t="e">
        <f t="shared" si="27"/>
        <v>#VALUE!</v>
      </c>
      <c r="H41" s="677" t="e">
        <f t="shared" si="22"/>
        <v>#VALUE!</v>
      </c>
      <c r="I41" s="694" t="e">
        <f t="shared" si="28"/>
        <v>#VALUE!</v>
      </c>
      <c r="J41" s="677" t="e">
        <f t="shared" si="23"/>
        <v>#VALUE!</v>
      </c>
      <c r="K41" s="676" t="e">
        <f t="shared" si="29"/>
        <v>#VALUE!</v>
      </c>
      <c r="L41" s="677" t="e">
        <f t="shared" si="24"/>
        <v>#VALUE!</v>
      </c>
      <c r="M41" s="676" t="e">
        <f t="shared" si="30"/>
        <v>#VALUE!</v>
      </c>
      <c r="N41" s="677" t="e">
        <f t="shared" si="25"/>
        <v>#VALUE!</v>
      </c>
      <c r="O41" s="676" t="e">
        <f t="shared" si="31"/>
        <v>#VALUE!</v>
      </c>
      <c r="P41" s="677" t="e">
        <f t="shared" si="26"/>
        <v>#VALUE!</v>
      </c>
      <c r="Q41" s="676">
        <f t="shared" si="32"/>
        <v>0</v>
      </c>
      <c r="R41" s="677" t="e">
        <f t="shared" si="33"/>
        <v>#VALUE!</v>
      </c>
      <c r="S41" s="721"/>
      <c r="T41" s="718"/>
      <c r="U41" s="719"/>
      <c r="V41" s="718"/>
      <c r="W41" s="4"/>
    </row>
    <row r="42" spans="1:25" x14ac:dyDescent="0.2">
      <c r="A42" s="2"/>
      <c r="B42" s="715" t="str">
        <f>'C1_Kalkulation'!H53</f>
        <v>3.4.</v>
      </c>
      <c r="C42" s="720" t="str">
        <f>'C1_Kalkulation'!I53</f>
        <v>Reinigung</v>
      </c>
      <c r="D42" s="675">
        <f>'C1_Kalkulation'!L53</f>
        <v>0</v>
      </c>
      <c r="E42" s="665" t="e">
        <f t="shared" si="21"/>
        <v>#VALUE!</v>
      </c>
      <c r="F42" s="665">
        <v>0.5</v>
      </c>
      <c r="G42" s="676" t="e">
        <f t="shared" si="27"/>
        <v>#VALUE!</v>
      </c>
      <c r="H42" s="677" t="e">
        <f t="shared" si="22"/>
        <v>#VALUE!</v>
      </c>
      <c r="I42" s="694" t="e">
        <f t="shared" si="28"/>
        <v>#VALUE!</v>
      </c>
      <c r="J42" s="677" t="e">
        <f t="shared" si="23"/>
        <v>#VALUE!</v>
      </c>
      <c r="K42" s="676" t="e">
        <f t="shared" si="29"/>
        <v>#VALUE!</v>
      </c>
      <c r="L42" s="677" t="e">
        <f t="shared" si="24"/>
        <v>#VALUE!</v>
      </c>
      <c r="M42" s="676" t="e">
        <f t="shared" si="30"/>
        <v>#VALUE!</v>
      </c>
      <c r="N42" s="677" t="e">
        <f t="shared" si="25"/>
        <v>#VALUE!</v>
      </c>
      <c r="O42" s="676" t="e">
        <f t="shared" si="31"/>
        <v>#VALUE!</v>
      </c>
      <c r="P42" s="677" t="e">
        <f t="shared" si="26"/>
        <v>#VALUE!</v>
      </c>
      <c r="Q42" s="676">
        <f t="shared" si="32"/>
        <v>0</v>
      </c>
      <c r="R42" s="677" t="e">
        <f t="shared" si="33"/>
        <v>#VALUE!</v>
      </c>
      <c r="S42" s="724"/>
      <c r="T42" s="725"/>
      <c r="U42" s="726"/>
      <c r="V42" s="725"/>
      <c r="W42" s="4"/>
      <c r="X42" s="601"/>
    </row>
    <row r="43" spans="1:25" x14ac:dyDescent="0.2">
      <c r="A43" s="2"/>
      <c r="B43" s="715" t="str">
        <f>'C1_Kalkulation'!H54</f>
        <v>3.5.</v>
      </c>
      <c r="C43" s="720" t="str">
        <f>'C1_Kalkulation'!I54</f>
        <v>Verwaltung</v>
      </c>
      <c r="D43" s="675">
        <f>'C1_Kalkulation'!L54</f>
        <v>0</v>
      </c>
      <c r="E43" s="665" t="e">
        <f t="shared" si="21"/>
        <v>#VALUE!</v>
      </c>
      <c r="F43" s="665">
        <v>0.5</v>
      </c>
      <c r="G43" s="676" t="e">
        <f t="shared" si="27"/>
        <v>#VALUE!</v>
      </c>
      <c r="H43" s="677" t="e">
        <f t="shared" si="22"/>
        <v>#VALUE!</v>
      </c>
      <c r="I43" s="694" t="e">
        <f t="shared" si="28"/>
        <v>#VALUE!</v>
      </c>
      <c r="J43" s="677" t="e">
        <f t="shared" si="23"/>
        <v>#VALUE!</v>
      </c>
      <c r="K43" s="676" t="e">
        <f t="shared" si="29"/>
        <v>#VALUE!</v>
      </c>
      <c r="L43" s="677" t="e">
        <f t="shared" si="24"/>
        <v>#VALUE!</v>
      </c>
      <c r="M43" s="676" t="e">
        <f t="shared" si="30"/>
        <v>#VALUE!</v>
      </c>
      <c r="N43" s="677" t="e">
        <f t="shared" si="25"/>
        <v>#VALUE!</v>
      </c>
      <c r="O43" s="676" t="e">
        <f t="shared" si="31"/>
        <v>#VALUE!</v>
      </c>
      <c r="P43" s="677" t="e">
        <f t="shared" si="26"/>
        <v>#VALUE!</v>
      </c>
      <c r="Q43" s="676">
        <f t="shared" si="32"/>
        <v>0</v>
      </c>
      <c r="R43" s="677" t="e">
        <f t="shared" si="33"/>
        <v>#VALUE!</v>
      </c>
      <c r="S43" s="671"/>
      <c r="T43" s="672"/>
      <c r="U43" s="671"/>
      <c r="V43" s="672"/>
      <c r="W43" s="4"/>
    </row>
    <row r="44" spans="1:25" x14ac:dyDescent="0.2">
      <c r="A44" s="2"/>
      <c r="B44" s="715" t="str">
        <f>'C1_Kalkulation'!H55</f>
        <v>3.6.</v>
      </c>
      <c r="C44" s="720" t="str">
        <f>'C1_Kalkulation'!I55</f>
        <v>Haustechnik</v>
      </c>
      <c r="D44" s="675">
        <f>'C1_Kalkulation'!L55</f>
        <v>0</v>
      </c>
      <c r="E44" s="665" t="e">
        <f t="shared" si="21"/>
        <v>#VALUE!</v>
      </c>
      <c r="F44" s="665">
        <v>0.5</v>
      </c>
      <c r="G44" s="676" t="e">
        <f t="shared" si="27"/>
        <v>#VALUE!</v>
      </c>
      <c r="H44" s="677" t="e">
        <f t="shared" si="22"/>
        <v>#VALUE!</v>
      </c>
      <c r="I44" s="694" t="e">
        <f t="shared" si="28"/>
        <v>#VALUE!</v>
      </c>
      <c r="J44" s="677" t="e">
        <f t="shared" si="23"/>
        <v>#VALUE!</v>
      </c>
      <c r="K44" s="676" t="e">
        <f t="shared" si="29"/>
        <v>#VALUE!</v>
      </c>
      <c r="L44" s="677" t="e">
        <f t="shared" si="24"/>
        <v>#VALUE!</v>
      </c>
      <c r="M44" s="676" t="e">
        <f t="shared" si="30"/>
        <v>#VALUE!</v>
      </c>
      <c r="N44" s="677" t="e">
        <f t="shared" si="25"/>
        <v>#VALUE!</v>
      </c>
      <c r="O44" s="676" t="e">
        <f t="shared" si="31"/>
        <v>#VALUE!</v>
      </c>
      <c r="P44" s="677" t="e">
        <f t="shared" si="26"/>
        <v>#VALUE!</v>
      </c>
      <c r="Q44" s="676">
        <f t="shared" si="32"/>
        <v>0</v>
      </c>
      <c r="R44" s="677" t="e">
        <f t="shared" si="33"/>
        <v>#VALUE!</v>
      </c>
      <c r="S44" s="671"/>
      <c r="T44" s="672"/>
      <c r="U44" s="671"/>
      <c r="V44" s="672"/>
      <c r="W44" s="4"/>
      <c r="X44" s="620"/>
    </row>
    <row r="45" spans="1:25" x14ac:dyDescent="0.2">
      <c r="A45" s="2"/>
      <c r="B45" s="715" t="str">
        <f>'C1_Kalkulation'!H56</f>
        <v>3.7.</v>
      </c>
      <c r="C45" s="720" t="str">
        <f>'C1_Kalkulation'!I56</f>
        <v>sonstiges</v>
      </c>
      <c r="D45" s="675">
        <f>'C1_Kalkulation'!L56</f>
        <v>0</v>
      </c>
      <c r="E45" s="665" t="e">
        <f t="shared" si="21"/>
        <v>#VALUE!</v>
      </c>
      <c r="F45" s="665">
        <v>0.5</v>
      </c>
      <c r="G45" s="676" t="e">
        <f t="shared" si="27"/>
        <v>#VALUE!</v>
      </c>
      <c r="H45" s="677" t="e">
        <f t="shared" si="22"/>
        <v>#VALUE!</v>
      </c>
      <c r="I45" s="694" t="e">
        <f t="shared" si="28"/>
        <v>#VALUE!</v>
      </c>
      <c r="J45" s="677" t="e">
        <f t="shared" si="23"/>
        <v>#VALUE!</v>
      </c>
      <c r="K45" s="676" t="e">
        <f t="shared" si="29"/>
        <v>#VALUE!</v>
      </c>
      <c r="L45" s="677" t="e">
        <f t="shared" si="24"/>
        <v>#VALUE!</v>
      </c>
      <c r="M45" s="676" t="e">
        <f t="shared" si="30"/>
        <v>#VALUE!</v>
      </c>
      <c r="N45" s="677" t="e">
        <f t="shared" si="25"/>
        <v>#VALUE!</v>
      </c>
      <c r="O45" s="676" t="e">
        <f t="shared" si="31"/>
        <v>#VALUE!</v>
      </c>
      <c r="P45" s="677" t="e">
        <f t="shared" si="26"/>
        <v>#VALUE!</v>
      </c>
      <c r="Q45" s="676">
        <f t="shared" si="32"/>
        <v>0</v>
      </c>
      <c r="R45" s="677" t="e">
        <f t="shared" si="33"/>
        <v>#VALUE!</v>
      </c>
      <c r="S45" s="671"/>
      <c r="T45" s="672"/>
      <c r="U45" s="671"/>
      <c r="V45" s="672"/>
      <c r="W45" s="4"/>
      <c r="X45" s="727"/>
    </row>
    <row r="46" spans="1:25" x14ac:dyDescent="0.2">
      <c r="A46" s="2"/>
      <c r="D46" s="728"/>
      <c r="E46" s="671"/>
      <c r="F46" s="671"/>
      <c r="G46" s="729"/>
      <c r="H46" s="730"/>
      <c r="I46" s="731"/>
      <c r="J46" s="730"/>
      <c r="K46" s="732"/>
      <c r="L46" s="733"/>
      <c r="M46" s="729"/>
      <c r="N46" s="733"/>
      <c r="O46" s="729"/>
      <c r="P46" s="733"/>
      <c r="Q46" s="687"/>
      <c r="R46" s="672"/>
      <c r="S46" s="671"/>
      <c r="T46" s="672"/>
      <c r="U46" s="671"/>
      <c r="V46" s="672"/>
      <c r="W46" s="4"/>
      <c r="X46" s="727"/>
    </row>
    <row r="47" spans="1:25" x14ac:dyDescent="0.2">
      <c r="A47" s="2"/>
      <c r="B47" s="734"/>
      <c r="C47" s="661" t="str">
        <f>IF('C1_Allgemeine Angaben'!D7&lt;&gt;"vst","errechnete Aufwendungen:","errechnete Aufwendungen nach Pflegegrad 2 bis 5:")</f>
        <v>errechnete Aufwendungen:</v>
      </c>
      <c r="D47" s="675">
        <f>I47+K47+M47+O47</f>
        <v>0</v>
      </c>
      <c r="E47" s="665" t="e">
        <f>D38+D26+D16-Q16-Q26-Q38-S26-G47</f>
        <v>#VALUE!</v>
      </c>
      <c r="F47" s="665"/>
      <c r="G47" s="735" t="e">
        <f>H47*H11</f>
        <v>#VALUE!</v>
      </c>
      <c r="H47" s="736">
        <f>IF('C1_Kalkulation'!H14=0,ROUND('C1_Gesamtkalkulation'!J51*0.78,2),ROUND(('C1_Gesamtkalkulation'!H16+'C1_Gesamtkalkulation'!H26+'C1_Gesamtkalkulation'!H38),2))</f>
        <v>0</v>
      </c>
      <c r="I47" s="737">
        <f>IFERROR(J47*J11,0)</f>
        <v>0</v>
      </c>
      <c r="J47" s="738" t="str">
        <f>IF(ISERROR(J38+J26+J16),"",(J38+J26+J16))</f>
        <v/>
      </c>
      <c r="K47" s="737">
        <f>IFERROR(L47*L11,0)</f>
        <v>0</v>
      </c>
      <c r="L47" s="738" t="str">
        <f>IF(ISERROR(L38+L26+L16),"",((L38+L26+L16)))</f>
        <v/>
      </c>
      <c r="M47" s="737">
        <f>IFERROR(N47*N11,0)</f>
        <v>0</v>
      </c>
      <c r="N47" s="738" t="str">
        <f>IF(ISERROR(N38+N26+N16),"",(N38+N26+N16))</f>
        <v/>
      </c>
      <c r="O47" s="737">
        <f>IFERROR(P47*P11,0)</f>
        <v>0</v>
      </c>
      <c r="P47" s="738" t="str">
        <f>IF(ISERROR(P38+P26+P16),"",(P38+P26+P16))</f>
        <v/>
      </c>
      <c r="Q47" s="739"/>
      <c r="R47" s="672"/>
      <c r="S47" s="740"/>
      <c r="T47" s="672"/>
      <c r="U47" s="671"/>
      <c r="V47" s="672"/>
      <c r="W47" s="4"/>
      <c r="X47" s="606"/>
    </row>
    <row r="48" spans="1:25" x14ac:dyDescent="0.2">
      <c r="A48" s="2"/>
      <c r="B48" s="734"/>
      <c r="C48" s="661" t="s">
        <v>97</v>
      </c>
      <c r="D48" s="675" t="str">
        <f>IF('C1_Allgemeine Angaben'!D7="vst",(((J12*J10)+(L12*L10)+(N12*N10)+(P12*P10))*12)*$L$6/100,"")</f>
        <v/>
      </c>
      <c r="E48" s="665" t="str">
        <f>IF('C1_Allgemeine Angaben'!D7="vst",I48+K48+M48+O48,"")</f>
        <v/>
      </c>
      <c r="F48" s="665"/>
      <c r="G48" s="676"/>
      <c r="H48" s="677"/>
      <c r="I48" s="737" t="str">
        <f>IF('C1_Allgemeine Angaben'!D7="vst",J12/($P$6)*J11,"")</f>
        <v/>
      </c>
      <c r="J48" s="738" t="str">
        <f>IF('C1_Allgemeine Angaben'!D7="vst",I48/J11,"")</f>
        <v/>
      </c>
      <c r="K48" s="737" t="str">
        <f>IF('C1_Allgemeine Angaben'!D7="vst",L12/($P$6)*L11,"")</f>
        <v/>
      </c>
      <c r="L48" s="738" t="str">
        <f>IF('C1_Allgemeine Angaben'!D7="vst",K48/L11,"")</f>
        <v/>
      </c>
      <c r="M48" s="737" t="str">
        <f>IF('C1_Allgemeine Angaben'!D7="vst",N12/($P$6)*N11,"")</f>
        <v/>
      </c>
      <c r="N48" s="738" t="str">
        <f>IF('C1_Allgemeine Angaben'!D7="vst",M48/N11,"")</f>
        <v/>
      </c>
      <c r="O48" s="737" t="str">
        <f>IF('C1_Allgemeine Angaben'!D7="vst",P12/($P$6)*P11,"")</f>
        <v/>
      </c>
      <c r="P48" s="738" t="str">
        <f>IF('C1_Allgemeine Angaben'!D7="vst",O48/P11,"")</f>
        <v/>
      </c>
      <c r="Q48" s="739"/>
      <c r="R48" s="672"/>
      <c r="S48" s="740"/>
      <c r="T48" s="741"/>
      <c r="U48" s="742"/>
      <c r="V48" s="741"/>
      <c r="W48" s="4"/>
      <c r="X48" s="743"/>
    </row>
    <row r="49" spans="1:41" x14ac:dyDescent="0.2">
      <c r="A49" s="2"/>
      <c r="B49" s="734"/>
      <c r="C49" s="661" t="s">
        <v>98</v>
      </c>
      <c r="D49" s="675" t="str">
        <f>IF('C1_Allgemeine Angaben'!D7="vst",D47-D48,"")</f>
        <v/>
      </c>
      <c r="E49" s="665" t="str">
        <f>IF('C1_Allgemeine Angaben'!D7="vst",I49+K49+M49+O49,"")</f>
        <v/>
      </c>
      <c r="F49" s="665"/>
      <c r="G49" s="676"/>
      <c r="H49" s="677"/>
      <c r="I49" s="737" t="str">
        <f>IF('C1_Allgemeine Angaben'!D7="vst",(I47-I48),"")</f>
        <v/>
      </c>
      <c r="J49" s="738" t="str">
        <f>IF('C1_Allgemeine Angaben'!$D$7="vst",ROUND($D$49/eeadivisor,2),"")</f>
        <v/>
      </c>
      <c r="K49" s="737" t="str">
        <f>IF('C1_Allgemeine Angaben'!D7="vst",(K47-K48),"")</f>
        <v/>
      </c>
      <c r="L49" s="738" t="str">
        <f>IF('C1_Allgemeine Angaben'!$D$7="vst",ROUND($D$49/eeadivisor,2),"")</f>
        <v/>
      </c>
      <c r="M49" s="737" t="str">
        <f>IF('C1_Allgemeine Angaben'!D7="vst",(M47-M48),"")</f>
        <v/>
      </c>
      <c r="N49" s="738" t="str">
        <f>IF('C1_Allgemeine Angaben'!$D$7="vst",ROUND($D$49/eeadivisor,2),"")</f>
        <v/>
      </c>
      <c r="O49" s="737" t="str">
        <f>IF('C1_Allgemeine Angaben'!D7="vst",(O47-O48),"")</f>
        <v/>
      </c>
      <c r="P49" s="738" t="str">
        <f>IF('C1_Allgemeine Angaben'!$D$7="vst",ROUND($D$49/eeadivisor,2),"")</f>
        <v/>
      </c>
      <c r="Q49" s="739"/>
      <c r="R49" s="744" t="s">
        <v>102</v>
      </c>
      <c r="S49" s="740"/>
      <c r="T49" s="741"/>
      <c r="U49" s="742"/>
      <c r="V49" s="741"/>
      <c r="W49" s="4"/>
    </row>
    <row r="50" spans="1:41" ht="15" thickBot="1" x14ac:dyDescent="0.25">
      <c r="A50" s="2"/>
      <c r="G50" s="637"/>
      <c r="H50" s="745"/>
      <c r="I50" s="746"/>
      <c r="J50" s="747"/>
      <c r="K50" s="746"/>
      <c r="L50" s="747"/>
      <c r="M50" s="746"/>
      <c r="N50" s="747"/>
      <c r="O50" s="746"/>
      <c r="P50" s="747"/>
      <c r="Q50" s="746"/>
      <c r="S50" s="41"/>
      <c r="T50" s="745"/>
      <c r="U50" s="746"/>
      <c r="V50" s="745"/>
      <c r="W50" s="4"/>
    </row>
    <row r="51" spans="1:41" ht="15" thickBot="1" x14ac:dyDescent="0.25">
      <c r="A51" s="2"/>
      <c r="D51" s="6" t="s">
        <v>99</v>
      </c>
      <c r="F51" s="17"/>
      <c r="G51" s="6" t="s">
        <v>63</v>
      </c>
      <c r="H51" s="748">
        <f>IF(ISERROR(H47),"",H47)</f>
        <v>0</v>
      </c>
      <c r="I51" s="6" t="s">
        <v>64</v>
      </c>
      <c r="J51" s="748">
        <f>IF('C1_Allgemeine Angaben'!D7="vst",ROUND(J12/$P$6+J49,2),IF('C1_Allgemeine Angaben'!D7&lt;&gt;"vst",KAT!H32))</f>
        <v>0</v>
      </c>
      <c r="K51" s="6" t="s">
        <v>65</v>
      </c>
      <c r="L51" s="748">
        <f>IF('C1_Allgemeine Angaben'!D7="vst",ROUND(L12/$P$6+L49,2),IF('C1_Allgemeine Angaben'!D7&lt;&gt;"vst",KAT!H33))</f>
        <v>0</v>
      </c>
      <c r="M51" s="6" t="s">
        <v>66</v>
      </c>
      <c r="N51" s="748">
        <f>IF('C1_Allgemeine Angaben'!D7="vst",ROUND(N12/$P$6+N49,2),IF('C1_Allgemeine Angaben'!D7&lt;&gt;"vst",KAT!H34))</f>
        <v>0</v>
      </c>
      <c r="O51" s="6" t="s">
        <v>67</v>
      </c>
      <c r="P51" s="748">
        <f>IF('C1_Allgemeine Angaben'!D7="vst",ROUND(P12/$P$6+P49,2),IF('C1_Allgemeine Angaben'!D7&lt;&gt;"vst",KAT!H35))</f>
        <v>0</v>
      </c>
      <c r="Q51" s="6" t="s">
        <v>100</v>
      </c>
      <c r="R51" s="748" t="e">
        <f>ROUND(R38+R26+R16,2)</f>
        <v>#VALUE!</v>
      </c>
      <c r="S51" s="749" t="s">
        <v>101</v>
      </c>
      <c r="T51" s="748" t="e">
        <f>ROUND(T26,2)</f>
        <v>#VALUE!</v>
      </c>
      <c r="U51" s="750" t="s">
        <v>150</v>
      </c>
      <c r="V51" s="748" t="e">
        <f>IF('C1_Allgemeine Angaben'!D7="vst",V19-0.03,V19)</f>
        <v>#VALUE!</v>
      </c>
      <c r="W51" s="4"/>
      <c r="X51" s="11"/>
      <c r="Y51" s="618"/>
      <c r="AO51" s="751"/>
    </row>
    <row r="52" spans="1:41" ht="15.75" customHeight="1" x14ac:dyDescent="0.2">
      <c r="A52" s="2"/>
      <c r="D52" s="6"/>
      <c r="E52" s="745"/>
      <c r="F52" s="745"/>
      <c r="G52" s="752"/>
      <c r="H52" s="745"/>
      <c r="I52" s="630"/>
      <c r="J52" s="630"/>
      <c r="K52" s="630"/>
      <c r="L52" s="630"/>
      <c r="M52" s="630"/>
      <c r="N52" s="745"/>
      <c r="O52" s="745"/>
      <c r="P52" s="745"/>
      <c r="Q52" s="745"/>
      <c r="R52" s="745"/>
      <c r="S52" s="745"/>
      <c r="T52" s="745"/>
      <c r="U52" s="745"/>
      <c r="V52" s="745"/>
      <c r="W52" s="4"/>
      <c r="X52" s="753"/>
      <c r="Y52" s="754"/>
    </row>
    <row r="53" spans="1:41" x14ac:dyDescent="0.2">
      <c r="A53" s="2"/>
      <c r="B53" s="755" t="str">
        <f>IF('C1_Allgemeine Angaben'!L46&gt;0,"errechnete Pflegesätze (Tag je Platz) für angebundene Kurzzeitpflege:","")</f>
        <v/>
      </c>
      <c r="G53" s="6" t="str">
        <f>IF('C1_Allgemeine Angaben'!$L$46&gt;0,'C1_Gesamtkalkulation'!G51,"")</f>
        <v/>
      </c>
      <c r="H53" s="756">
        <f>IFERROR(IF('C1_Kalkulation'!H14&gt;0,'C1_Gesamtkalkulation'!H47*0.96/0.8,J53*0.78),0)</f>
        <v>0</v>
      </c>
      <c r="I53" s="6" t="str">
        <f>IF('C1_Allgemeine Angaben'!$L$46&gt;0,'C1_Gesamtkalkulation'!I51,"")</f>
        <v/>
      </c>
      <c r="J53" s="756" t="str">
        <f>IFERROR(IF('C1_Allgemeine Angaben'!$L$46&gt;0,'C1_Gesamtkalkulation'!J47*0.96/0.8,""),0)</f>
        <v/>
      </c>
      <c r="K53" s="6" t="str">
        <f>IF('C1_Allgemeine Angaben'!$L$46&gt;0,'C1_Gesamtkalkulation'!K51,"")</f>
        <v/>
      </c>
      <c r="L53" s="756" t="str">
        <f>IFERROR(IF('C1_Allgemeine Angaben'!$L$46&gt;0,'C1_Gesamtkalkulation'!L47*0.96/0.8,""),0)</f>
        <v/>
      </c>
      <c r="M53" s="6" t="str">
        <f>IF('C1_Allgemeine Angaben'!$L$46&gt;0,'C1_Gesamtkalkulation'!M51,"")</f>
        <v/>
      </c>
      <c r="N53" s="756" t="str">
        <f>IFERROR(IF('C1_Allgemeine Angaben'!$L$46&gt;0,'C1_Gesamtkalkulation'!N47*0.96/0.8,""),0)</f>
        <v/>
      </c>
      <c r="O53" s="6" t="str">
        <f>IF('C1_Allgemeine Angaben'!$L$46&gt;0,'C1_Gesamtkalkulation'!O51,"")</f>
        <v/>
      </c>
      <c r="P53" s="756" t="str">
        <f>IFERROR(IF('C1_Allgemeine Angaben'!$L$46&gt;0,'C1_Gesamtkalkulation'!P47*0.96/0.8,""),0)</f>
        <v/>
      </c>
      <c r="Q53" s="6" t="str">
        <f>IF('C1_Allgemeine Angaben'!$L$46&gt;0,'C1_Gesamtkalkulation'!Q51,"")</f>
        <v/>
      </c>
      <c r="R53" s="756" t="str">
        <f>IFERROR(IF('C1_Allgemeine Angaben'!$L$46&gt;0,'C1_Gesamtkalkulation'!R51*0.96/0.8,""),0)</f>
        <v/>
      </c>
      <c r="S53" s="6" t="str">
        <f>IF('C1_Allgemeine Angaben'!$L$46&gt;0,'C1_Gesamtkalkulation'!S51,"")</f>
        <v/>
      </c>
      <c r="T53" s="756" t="str">
        <f>IFERROR(IF('C1_Allgemeine Angaben'!$L$46&gt;0,'C1_Gesamtkalkulation'!T51*0.96/0.8,""),0)</f>
        <v/>
      </c>
      <c r="V53" s="756" t="str">
        <f>IFERROR(IF('C1_Allgemeine Angaben'!$L$46&gt;0,'C1_Gesamtkalkulation'!V51+0.03,""),0)</f>
        <v/>
      </c>
      <c r="W53" s="4"/>
      <c r="Y53" s="754"/>
    </row>
    <row r="54" spans="1:41" x14ac:dyDescent="0.2">
      <c r="A54" s="35"/>
      <c r="B54" s="36"/>
      <c r="C54" s="757"/>
      <c r="D54" s="36"/>
      <c r="E54" s="36"/>
      <c r="F54" s="36"/>
      <c r="G54" s="758"/>
      <c r="H54" s="36"/>
      <c r="I54" s="758"/>
      <c r="J54" s="36"/>
      <c r="K54" s="758"/>
      <c r="L54" s="24"/>
      <c r="M54" s="758"/>
      <c r="N54" s="24"/>
      <c r="O54" s="758"/>
      <c r="P54" s="24"/>
      <c r="Q54" s="758"/>
      <c r="R54" s="36"/>
      <c r="S54" s="758"/>
      <c r="T54" s="36"/>
      <c r="U54" s="36"/>
      <c r="V54" s="36"/>
      <c r="W54" s="594"/>
      <c r="Y54" s="754"/>
    </row>
    <row r="55" spans="1:41" ht="15" thickBot="1" x14ac:dyDescent="0.25">
      <c r="C55" s="5"/>
      <c r="G55" s="6"/>
      <c r="I55" s="6"/>
      <c r="K55" s="6"/>
      <c r="L55" s="11"/>
      <c r="M55" s="6"/>
      <c r="N55" s="11"/>
      <c r="O55" s="6"/>
      <c r="P55" s="11"/>
      <c r="Q55" s="6"/>
      <c r="S55" s="6"/>
      <c r="Y55" s="754"/>
    </row>
    <row r="56" spans="1:41" ht="15" thickBot="1" x14ac:dyDescent="0.25">
      <c r="D56" s="759"/>
      <c r="E56" s="760"/>
      <c r="F56" s="760"/>
      <c r="G56" s="760"/>
      <c r="H56" s="1205" t="s">
        <v>684</v>
      </c>
      <c r="I56" s="1206"/>
      <c r="J56" s="1206"/>
      <c r="K56" s="1206"/>
      <c r="L56" s="1206"/>
      <c r="M56" s="1206"/>
      <c r="N56" s="1207"/>
      <c r="O56" s="761"/>
      <c r="X56" s="762"/>
    </row>
    <row r="57" spans="1:41" x14ac:dyDescent="0.2">
      <c r="X57" s="689"/>
    </row>
    <row r="58" spans="1:41" hidden="1" x14ac:dyDescent="0.2">
      <c r="H58" s="763" t="s">
        <v>255</v>
      </c>
    </row>
    <row r="59" spans="1:41" x14ac:dyDescent="0.2">
      <c r="X59" s="689"/>
    </row>
  </sheetData>
  <sheetProtection algorithmName="SHA-512" hashValue="G+i02EnYeToIoAqK4vrz7oku1UospIiQ1jt+vidOOXEog8vFOBVJaLHFMBsDJPkZyZignKJZ303+Bh/w8Zx9Sw==" saltValue="tkxn73KgRtTyKhjKJTVavA==" spinCount="100000" sheet="1" objects="1" scenarios="1"/>
  <customSheetViews>
    <customSheetView guid="{9119B1A0-FD79-4FE4-B78E-10E0AEB8080B}" scale="90" showGridLines="0" fitToPage="1" hiddenRows="1" hiddenColumns="1">
      <pane xSplit="3" ySplit="15" topLeftCell="D31" activePane="bottomRight" state="frozen"/>
      <selection pane="bottomRight" activeCell="H33" sqref="H33"/>
      <pageMargins left="0.70866141732283472" right="0.70866141732283472" top="0.78740157480314965" bottom="0.78740157480314965" header="0.31496062992125984" footer="0.31496062992125984"/>
      <pageSetup paperSize="9" scale="64" orientation="landscape"/>
      <headerFooter>
        <oddHeader>&amp;C&amp;9Seite 3</oddHeader>
        <oddFooter>&amp;L&amp;8Version: 13.11.2019&amp;C&amp;8Verhandlungsunterlagen SGB XI (vereinfacht)</oddFooter>
      </headerFooter>
    </customSheetView>
  </customSheetViews>
  <mergeCells count="5">
    <mergeCell ref="A1:W1"/>
    <mergeCell ref="A2:W2"/>
    <mergeCell ref="H56:N56"/>
    <mergeCell ref="A3:W3"/>
    <mergeCell ref="A4:W4"/>
  </mergeCells>
  <conditionalFormatting sqref="D24:D36">
    <cfRule type="cellIs" dxfId="40" priority="52" operator="between">
      <formula>0</formula>
      <formula>0</formula>
    </cfRule>
  </conditionalFormatting>
  <conditionalFormatting sqref="D38:D45">
    <cfRule type="cellIs" dxfId="39" priority="51" operator="between">
      <formula>0</formula>
      <formula>0</formula>
    </cfRule>
  </conditionalFormatting>
  <conditionalFormatting sqref="D47">
    <cfRule type="cellIs" dxfId="38" priority="58" operator="between">
      <formula>0</formula>
      <formula>0</formula>
    </cfRule>
  </conditionalFormatting>
  <conditionalFormatting sqref="D16:W52">
    <cfRule type="containsErrors" dxfId="37" priority="70">
      <formula>ISERROR(D16)</formula>
    </cfRule>
  </conditionalFormatting>
  <conditionalFormatting sqref="G53:G55">
    <cfRule type="containsErrors" dxfId="36" priority="49">
      <formula>ISERROR(G53)</formula>
    </cfRule>
  </conditionalFormatting>
  <conditionalFormatting sqref="H47">
    <cfRule type="expression" dxfId="35" priority="59">
      <formula>$I$47=0</formula>
    </cfRule>
  </conditionalFormatting>
  <conditionalFormatting sqref="H10:P10">
    <cfRule type="cellIs" dxfId="33" priority="56" operator="between">
      <formula>0</formula>
      <formula>0</formula>
    </cfRule>
  </conditionalFormatting>
  <conditionalFormatting sqref="I53:I55">
    <cfRule type="containsErrors" dxfId="32" priority="43">
      <formula>ISERROR(I53)</formula>
    </cfRule>
  </conditionalFormatting>
  <conditionalFormatting sqref="K53:K55">
    <cfRule type="containsErrors" dxfId="30" priority="48">
      <formula>ISERROR(K53)</formula>
    </cfRule>
  </conditionalFormatting>
  <conditionalFormatting sqref="L51">
    <cfRule type="containsText" dxfId="29" priority="55" operator="containsText" text="FALSCH">
      <formula>NOT(ISERROR(SEARCH("FALSCH",L51)))</formula>
    </cfRule>
  </conditionalFormatting>
  <conditionalFormatting sqref="M53:M55">
    <cfRule type="containsErrors" dxfId="27" priority="47">
      <formula>ISERROR(M53)</formula>
    </cfRule>
  </conditionalFormatting>
  <conditionalFormatting sqref="N6">
    <cfRule type="cellIs" dxfId="26" priority="57" operator="between">
      <formula>0</formula>
      <formula>0</formula>
    </cfRule>
  </conditionalFormatting>
  <conditionalFormatting sqref="N51">
    <cfRule type="containsText" dxfId="25" priority="11" operator="containsText" text="FALSCH">
      <formula>NOT(ISERROR(SEARCH("FALSCH",N51)))</formula>
    </cfRule>
  </conditionalFormatting>
  <conditionalFormatting sqref="O53:O55">
    <cfRule type="containsErrors" dxfId="23" priority="46">
      <formula>ISERROR(O53)</formula>
    </cfRule>
  </conditionalFormatting>
  <conditionalFormatting sqref="P51">
    <cfRule type="containsText" dxfId="22" priority="9" operator="containsText" text="FALSCH">
      <formula>NOT(ISERROR(SEARCH("FALSCH",P51)))</formula>
    </cfRule>
  </conditionalFormatting>
  <conditionalFormatting sqref="Q53:Q55">
    <cfRule type="containsErrors" dxfId="20" priority="45">
      <formula>ISERROR(Q53)</formula>
    </cfRule>
  </conditionalFormatting>
  <conditionalFormatting sqref="R51">
    <cfRule type="containsText" dxfId="17" priority="6" operator="containsText" text="FALSCH">
      <formula>NOT(ISERROR(SEARCH("FALSCH",R51)))</formula>
    </cfRule>
  </conditionalFormatting>
  <conditionalFormatting sqref="S53:S55">
    <cfRule type="containsErrors" dxfId="15" priority="44">
      <formula>ISERROR(S53)</formula>
    </cfRule>
  </conditionalFormatting>
  <conditionalFormatting sqref="T51">
    <cfRule type="containsText" dxfId="14" priority="3" operator="containsText" text="FALSCH">
      <formula>NOT(ISERROR(SEARCH("FALSCH",T51)))</formula>
    </cfRule>
  </conditionalFormatting>
  <conditionalFormatting sqref="Y52:Y55">
    <cfRule type="containsErrors" dxfId="11" priority="14">
      <formula>ISERROR(Y52)</formula>
    </cfRule>
  </conditionalFormatting>
  <hyperlinks>
    <hyperlink ref="H56" location="'Anlage 1'!A1" display="Anlage 1" xr:uid="{00000000-0004-0000-0500-000000000000}"/>
    <hyperlink ref="H56:N56" location="'C1_Bewohnervertretung'!Druckbereich" display="gehe weiter zu C1_Bewohnervertretung" xr:uid="{00000000-0004-0000-0500-000001000000}"/>
  </hyperlinks>
  <pageMargins left="0.70866141732283472" right="0.70866141732283472" top="0.78740157480314965" bottom="0.78740157480314965" header="0.31496062992125984" footer="0.31496062992125984"/>
  <pageSetup paperSize="9" scale="62" orientation="landscape"/>
  <headerFooter>
    <oddHeader>&amp;C&amp;9Seite 3</oddHeader>
    <oddFooter>&amp;L&amp;8Version: 21.11.2024&amp;C&amp;8Verhandlungsunterlagen SGB XI (vereinfacht C1)&amp;R&amp;8PSK-Beschluss vom 07.11.2024</oddFooter>
  </headerFooter>
  <ignoredErrors>
    <ignoredError sqref="H16:V17 H42:R46 H47:I49 M47:M49 O47:R49 R51:V51 H37:V41 I36:V36 H19:V35 H18 J18:V18" evalError="1"/>
    <ignoredError sqref="J47:L49 N47:N49" evalError="1" 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06F1E600-4C53-4855-B1C1-DFA9D1C96BCC}">
            <xm:f>'C1_Allgemeine Angaben'!$D$7&lt;&gt;"vst"</xm:f>
            <x14:dxf>
              <font>
                <color theme="0" tint="-4.9989318521683403E-2"/>
              </font>
              <fill>
                <patternFill>
                  <bgColor theme="0" tint="-4.9989318521683403E-2"/>
                </patternFill>
              </fill>
            </x14:dxf>
          </x14:cfRule>
          <xm:sqref>B41:C41</xm:sqref>
        </x14:conditionalFormatting>
        <x14:conditionalFormatting xmlns:xm="http://schemas.microsoft.com/office/excel/2006/main">
          <x14:cfRule type="expression" priority="65" id="{B76BB2F1-06D1-44A0-8EA3-3294A0622347}">
            <xm:f>'C1_Allgemeine Angaben'!$D$7="tst"</xm:f>
            <x14:dxf>
              <font>
                <color theme="0"/>
              </font>
              <fill>
                <patternFill>
                  <bgColor theme="0"/>
                </patternFill>
              </fill>
              <border>
                <left/>
                <right/>
                <bottom/>
                <vertical/>
                <horizontal/>
              </border>
            </x14:dxf>
          </x14:cfRule>
          <x14:cfRule type="expression" priority="62" id="{074122E9-B25B-47E2-9727-2EAB10277E85}">
            <xm:f>'C1_Allgemeine Angaben'!$D$7="kzp"</xm:f>
            <x14:dxf>
              <font>
                <color theme="0"/>
              </font>
              <fill>
                <patternFill>
                  <fgColor theme="0"/>
                  <bgColor theme="0"/>
                </patternFill>
              </fill>
              <border>
                <left/>
                <right/>
                <bottom/>
                <vertical/>
                <horizontal/>
              </border>
            </x14:dxf>
          </x14:cfRule>
          <xm:sqref>C12:P12 B48:P48 B49:R49</xm:sqref>
        </x14:conditionalFormatting>
        <x14:conditionalFormatting xmlns:xm="http://schemas.microsoft.com/office/excel/2006/main">
          <x14:cfRule type="expression" priority="13" id="{BA52BD0A-4FDD-4579-858B-44C3A2B68CC7}">
            <xm:f>'C1_Allgemeine Angaben'!$L$46&gt;0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H53</xm:sqref>
        </x14:conditionalFormatting>
        <x14:conditionalFormatting xmlns:xm="http://schemas.microsoft.com/office/excel/2006/main">
          <x14:cfRule type="expression" priority="12" id="{233FCF2A-E80E-4840-96BA-A419F5030BC6}">
            <xm:f>'C1_Allgemeine Angaben'!$L$46&gt;0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J53</xm:sqref>
        </x14:conditionalFormatting>
        <x14:conditionalFormatting xmlns:xm="http://schemas.microsoft.com/office/excel/2006/main">
          <x14:cfRule type="expression" priority="15" id="{9331D945-CFC1-4957-A25C-808E88B3E5B7}">
            <xm:f>'C1_Allgemeine Angaben'!$L$46&gt;0</xm:f>
            <x14:dxf>
              <font>
                <b/>
                <i val="0"/>
                <color auto="1"/>
              </font>
              <fill>
                <patternFill>
                  <fgColor auto="1"/>
                  <bgColor theme="0" tint="-4.9989318521683403E-2"/>
                </patternFill>
              </fill>
              <border>
                <left style="thin">
                  <color auto="1"/>
                </left>
                <right style="thin">
                  <color auto="1"/>
                </right>
                <top style="thin">
                  <color auto="1"/>
                </top>
                <bottom style="thin">
                  <color auto="1"/>
                </bottom>
                <vertical/>
                <horizontal/>
              </border>
            </x14:dxf>
          </x14:cfRule>
          <xm:sqref>L53</xm:sqref>
        </x14:conditionalFormatting>
        <x14:conditionalFormatting xmlns:xm="http://schemas.microsoft.com/office/excel/2006/main">
          <x14:cfRule type="expression" priority="20" id="{17A60CE8-74DF-42F0-A6AA-A3A7CFB5AAD0}">
            <xm:f>'C1_Allgemeine Angaben'!$L$46&gt;0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N53</xm:sqref>
        </x14:conditionalFormatting>
        <x14:conditionalFormatting xmlns:xm="http://schemas.microsoft.com/office/excel/2006/main">
          <x14:cfRule type="expression" priority="19" id="{740B77BE-7129-4761-ADE8-D1AFE7D12FC4}">
            <xm:f>'C1_Allgemeine Angaben'!$L$46&gt;0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P53</xm:sqref>
        </x14:conditionalFormatting>
        <x14:conditionalFormatting xmlns:xm="http://schemas.microsoft.com/office/excel/2006/main">
          <x14:cfRule type="expression" priority="69" id="{07C8E480-9846-495D-94E5-811CD282BFFC}">
            <xm:f>'C1_Allgemeine Angaben'!$D$7="tst"</xm:f>
            <x14:dxf>
              <font>
                <color theme="0"/>
              </font>
              <fill>
                <patternFill>
                  <bgColor theme="0"/>
                </patternFill>
              </fill>
              <border>
                <left/>
                <right/>
                <top/>
                <bottom/>
                <vertical/>
                <horizontal/>
              </border>
            </x14:dxf>
          </x14:cfRule>
          <xm:sqref>R49 H56:P56</xm:sqref>
        </x14:conditionalFormatting>
        <x14:conditionalFormatting xmlns:xm="http://schemas.microsoft.com/office/excel/2006/main">
          <x14:cfRule type="expression" priority="66" id="{0566DA16-5EBC-4792-A482-DB323D7D639D}">
            <xm:f>'C1_Allgemeine Angaben'!$D$7="kzp"</xm:f>
            <x14:dxf>
              <font>
                <color theme="0"/>
              </font>
            </x14:dxf>
          </x14:cfRule>
          <xm:sqref>R49</xm:sqref>
        </x14:conditionalFormatting>
        <x14:conditionalFormatting xmlns:xm="http://schemas.microsoft.com/office/excel/2006/main">
          <x14:cfRule type="expression" priority="18" id="{30F6EB2A-7C14-4981-B0F8-BC6A1F2D2F71}">
            <xm:f>'C1_Allgemeine Angaben'!$L$46&gt;0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R53</xm:sqref>
        </x14:conditionalFormatting>
        <x14:conditionalFormatting xmlns:xm="http://schemas.microsoft.com/office/excel/2006/main">
          <x14:cfRule type="expression" priority="17" id="{D95CADF1-7908-4F25-A6C6-114B81B4FEC0}">
            <xm:f>'C1_Allgemeine Angaben'!$L$46&gt;0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T53</xm:sqref>
        </x14:conditionalFormatting>
        <x14:conditionalFormatting xmlns:xm="http://schemas.microsoft.com/office/excel/2006/main">
          <x14:cfRule type="expression" priority="16" id="{3A214EB9-4696-48AF-9F62-C67D35E58EAF}">
            <xm:f>'C1_Allgemeine Angaben'!$L$46&gt;0</xm:f>
            <x14:dxf>
              <font>
                <b/>
                <i val="0"/>
                <color auto="1"/>
              </font>
              <fill>
                <patternFill>
                  <bgColor theme="0" tint="-4.9989318521683403E-2"/>
                </patternFill>
              </fill>
              <border>
                <left style="thin">
                  <color auto="1"/>
                </left>
                <right style="thin">
                  <color auto="1"/>
                </right>
                <top style="thin">
                  <color auto="1"/>
                </top>
                <bottom style="thin">
                  <color auto="1"/>
                </bottom>
                <vertical/>
                <horizontal/>
              </border>
            </x14:dxf>
          </x14:cfRule>
          <xm:sqref>V53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Q64"/>
  <sheetViews>
    <sheetView showGridLines="0" zoomScaleNormal="100" workbookViewId="0">
      <selection activeCell="D20" sqref="D20"/>
    </sheetView>
  </sheetViews>
  <sheetFormatPr baseColWidth="10" defaultRowHeight="14.25" x14ac:dyDescent="0.2"/>
  <cols>
    <col min="1" max="2" width="3.625" style="44" customWidth="1"/>
    <col min="3" max="3" width="3.25" style="44" customWidth="1"/>
    <col min="4" max="4" width="3.125" style="44" customWidth="1"/>
    <col min="5" max="5" width="3.5" style="44" customWidth="1"/>
    <col min="6" max="6" width="11" style="44"/>
    <col min="7" max="7" width="3.125" style="44" customWidth="1"/>
    <col min="8" max="8" width="3.5" style="44" customWidth="1"/>
    <col min="9" max="9" width="11" style="44"/>
    <col min="10" max="10" width="11.875" style="44" customWidth="1"/>
    <col min="11" max="11" width="3.125" style="44" customWidth="1"/>
    <col min="12" max="12" width="17.75" style="44" customWidth="1"/>
    <col min="13" max="13" width="18.875" style="44" customWidth="1"/>
    <col min="14" max="14" width="4" style="44" customWidth="1"/>
  </cols>
  <sheetData>
    <row r="1" spans="1:17" ht="15.75" x14ac:dyDescent="0.25">
      <c r="A1" s="1214" t="s">
        <v>104</v>
      </c>
      <c r="B1" s="1215"/>
      <c r="C1" s="1215"/>
      <c r="D1" s="1215"/>
      <c r="E1" s="1215"/>
      <c r="F1" s="1215"/>
      <c r="G1" s="1215"/>
      <c r="H1" s="1215"/>
      <c r="I1" s="1215"/>
      <c r="J1" s="1215"/>
      <c r="K1" s="1215"/>
      <c r="L1" s="1215"/>
      <c r="M1" s="1215"/>
      <c r="N1" s="1216"/>
      <c r="O1" s="123"/>
    </row>
    <row r="2" spans="1:17" ht="15" x14ac:dyDescent="0.2">
      <c r="A2" s="1217" t="s">
        <v>149</v>
      </c>
      <c r="B2" s="1218"/>
      <c r="C2" s="1218"/>
      <c r="D2" s="1218"/>
      <c r="E2" s="1218"/>
      <c r="F2" s="1218"/>
      <c r="G2" s="1218"/>
      <c r="H2" s="1218"/>
      <c r="I2" s="1218"/>
      <c r="J2" s="1218"/>
      <c r="K2" s="1218"/>
      <c r="L2" s="1218"/>
      <c r="M2" s="1218"/>
      <c r="N2" s="1219"/>
      <c r="O2" s="9"/>
    </row>
    <row r="3" spans="1:17" ht="15.75" x14ac:dyDescent="0.25">
      <c r="A3" s="1220" t="str">
        <f>'C1_Allgemeine Angaben'!A3:N3</f>
        <v/>
      </c>
      <c r="B3" s="1221"/>
      <c r="C3" s="1221"/>
      <c r="D3" s="1221"/>
      <c r="E3" s="1221"/>
      <c r="F3" s="1221"/>
      <c r="G3" s="1221"/>
      <c r="H3" s="1221"/>
      <c r="I3" s="1221"/>
      <c r="J3" s="1221"/>
      <c r="K3" s="1221"/>
      <c r="L3" s="1221"/>
      <c r="M3" s="1221"/>
      <c r="N3" s="1222"/>
    </row>
    <row r="4" spans="1:17" ht="15.75" x14ac:dyDescent="0.25">
      <c r="A4" s="1220" t="str">
        <f>'C1_Allgemeine Angaben'!A4:N4</f>
        <v/>
      </c>
      <c r="B4" s="1221"/>
      <c r="C4" s="1221"/>
      <c r="D4" s="1221"/>
      <c r="E4" s="1221"/>
      <c r="F4" s="1221"/>
      <c r="G4" s="1221"/>
      <c r="H4" s="1221"/>
      <c r="I4" s="1221"/>
      <c r="J4" s="1221"/>
      <c r="K4" s="1221"/>
      <c r="L4" s="1221"/>
      <c r="M4" s="1221"/>
      <c r="N4" s="1222"/>
      <c r="O4" s="1"/>
      <c r="Q4" s="9"/>
    </row>
    <row r="5" spans="1:17" ht="16.5" thickBot="1" x14ac:dyDescent="0.3">
      <c r="A5" s="42"/>
      <c r="B5" s="43"/>
      <c r="N5" s="45"/>
      <c r="O5" s="44"/>
      <c r="Q5" s="9"/>
    </row>
    <row r="6" spans="1:17" s="80" customFormat="1" ht="16.5" thickBot="1" x14ac:dyDescent="0.3">
      <c r="A6" s="78"/>
      <c r="B6" s="1223" t="s">
        <v>105</v>
      </c>
      <c r="C6" s="1223"/>
      <c r="D6" s="1223"/>
      <c r="E6" s="1223"/>
      <c r="F6" s="1223"/>
      <c r="G6" s="1224"/>
      <c r="H6" s="79"/>
      <c r="J6" s="43"/>
      <c r="K6" s="79"/>
      <c r="L6" s="1225" t="s">
        <v>106</v>
      </c>
      <c r="M6" s="1223"/>
      <c r="N6" s="81"/>
      <c r="Q6" s="91"/>
    </row>
    <row r="7" spans="1:17" ht="14.25" customHeight="1" x14ac:dyDescent="0.2">
      <c r="A7" s="42"/>
      <c r="N7" s="45"/>
      <c r="O7" s="44"/>
    </row>
    <row r="8" spans="1:17" ht="27" customHeight="1" x14ac:dyDescent="0.2">
      <c r="A8" s="42"/>
      <c r="B8" s="1229" t="s">
        <v>164</v>
      </c>
      <c r="C8" s="1229"/>
      <c r="D8" s="1229"/>
      <c r="E8" s="1229"/>
      <c r="F8" s="1229"/>
      <c r="G8" s="1229"/>
      <c r="H8" s="1229"/>
      <c r="I8" s="1229"/>
      <c r="J8" s="1229"/>
      <c r="K8" s="1229"/>
      <c r="L8" s="1229"/>
      <c r="M8" s="1229"/>
      <c r="N8" s="45"/>
      <c r="O8" s="44"/>
    </row>
    <row r="9" spans="1:17" ht="15.75" x14ac:dyDescent="0.25">
      <c r="A9" s="42"/>
      <c r="B9" s="46"/>
      <c r="N9" s="45"/>
      <c r="O9" s="44"/>
      <c r="Q9" s="47"/>
    </row>
    <row r="10" spans="1:17" s="80" customFormat="1" ht="15" x14ac:dyDescent="0.2">
      <c r="A10" s="82"/>
      <c r="B10" s="83" t="s">
        <v>107</v>
      </c>
      <c r="C10" s="83" t="s">
        <v>108</v>
      </c>
      <c r="D10" s="83"/>
      <c r="E10" s="83"/>
      <c r="F10" s="83"/>
      <c r="G10" s="83"/>
      <c r="I10" s="83"/>
      <c r="J10" s="83"/>
      <c r="N10" s="84"/>
    </row>
    <row r="11" spans="1:17" ht="12.75" customHeight="1" thickBot="1" x14ac:dyDescent="0.3">
      <c r="A11" s="42"/>
      <c r="B11" s="46"/>
      <c r="N11" s="45"/>
      <c r="O11" s="44"/>
    </row>
    <row r="12" spans="1:17" ht="16.5" thickBot="1" x14ac:dyDescent="0.3">
      <c r="A12" s="42"/>
      <c r="D12" s="85"/>
      <c r="F12" s="43" t="s">
        <v>109</v>
      </c>
      <c r="G12" s="47"/>
      <c r="H12" s="47"/>
      <c r="I12" s="47"/>
      <c r="N12" s="45"/>
      <c r="O12" s="44"/>
    </row>
    <row r="13" spans="1:17" ht="15" x14ac:dyDescent="0.2">
      <c r="A13" s="42"/>
      <c r="F13" s="83" t="s">
        <v>110</v>
      </c>
      <c r="G13" s="48"/>
      <c r="H13" s="48"/>
      <c r="I13" s="48"/>
      <c r="J13" s="48"/>
      <c r="K13" s="48"/>
      <c r="N13" s="45"/>
      <c r="O13" s="44"/>
    </row>
    <row r="14" spans="1:17" ht="12.75" customHeight="1" thickBot="1" x14ac:dyDescent="0.25">
      <c r="A14" s="42"/>
      <c r="F14" s="48"/>
      <c r="G14" s="48"/>
      <c r="H14" s="48"/>
      <c r="I14" s="48"/>
      <c r="J14" s="48"/>
      <c r="K14" s="48"/>
      <c r="N14" s="45"/>
      <c r="O14" s="44"/>
    </row>
    <row r="15" spans="1:17" ht="16.5" thickBot="1" x14ac:dyDescent="0.3">
      <c r="A15" s="42"/>
      <c r="D15" s="85"/>
      <c r="F15" s="43" t="s">
        <v>111</v>
      </c>
      <c r="G15" s="47"/>
      <c r="H15" s="47"/>
      <c r="I15" s="47"/>
      <c r="N15" s="45"/>
      <c r="O15" s="44"/>
    </row>
    <row r="16" spans="1:17" ht="15" x14ac:dyDescent="0.2">
      <c r="A16" s="42"/>
      <c r="F16" s="83" t="s">
        <v>112</v>
      </c>
      <c r="N16" s="45"/>
      <c r="O16" s="44"/>
    </row>
    <row r="17" spans="1:15" x14ac:dyDescent="0.2">
      <c r="A17" s="42"/>
      <c r="F17" s="48"/>
      <c r="N17" s="45"/>
      <c r="O17" s="44"/>
    </row>
    <row r="18" spans="1:15" s="80" customFormat="1" ht="15" x14ac:dyDescent="0.2">
      <c r="A18" s="82"/>
      <c r="B18" s="83" t="s">
        <v>113</v>
      </c>
      <c r="C18" s="83" t="s">
        <v>114</v>
      </c>
      <c r="D18" s="83"/>
      <c r="E18" s="83"/>
      <c r="F18" s="83"/>
      <c r="G18" s="83"/>
      <c r="H18" s="83"/>
      <c r="I18" s="83"/>
      <c r="J18" s="83"/>
      <c r="L18" s="83"/>
      <c r="M18" s="83"/>
      <c r="N18" s="86"/>
    </row>
    <row r="19" spans="1:15" ht="12.75" customHeight="1" thickBot="1" x14ac:dyDescent="0.25">
      <c r="A19" s="42"/>
      <c r="C19" s="47"/>
      <c r="D19" s="47"/>
      <c r="E19" s="47"/>
      <c r="F19" s="47"/>
      <c r="G19" s="47"/>
      <c r="H19" s="47"/>
      <c r="I19" s="47"/>
      <c r="J19" s="47"/>
      <c r="K19" s="47"/>
      <c r="L19" s="47"/>
      <c r="M19" s="47"/>
      <c r="N19" s="49"/>
      <c r="O19" s="44"/>
    </row>
    <row r="20" spans="1:15" ht="15" thickBot="1" x14ac:dyDescent="0.25">
      <c r="A20" s="42"/>
      <c r="C20" s="47"/>
      <c r="D20" s="87"/>
      <c r="E20" s="18"/>
      <c r="F20" s="1230" t="s">
        <v>115</v>
      </c>
      <c r="G20" s="1230"/>
      <c r="H20" s="1230"/>
      <c r="I20" s="1230"/>
      <c r="J20" s="1230"/>
      <c r="K20" s="1230"/>
      <c r="L20" s="1230"/>
      <c r="M20" s="75"/>
      <c r="N20" s="69"/>
      <c r="O20" s="44"/>
    </row>
    <row r="21" spans="1:15" x14ac:dyDescent="0.2">
      <c r="A21" s="42"/>
      <c r="C21" s="47"/>
      <c r="D21" s="18"/>
      <c r="E21" s="18"/>
      <c r="F21" s="88" t="s">
        <v>165</v>
      </c>
      <c r="G21" s="88"/>
      <c r="H21" s="88"/>
      <c r="I21" s="88"/>
      <c r="J21" s="88"/>
      <c r="K21" s="88"/>
      <c r="L21" s="88"/>
      <c r="M21" s="75"/>
      <c r="N21" s="69"/>
      <c r="O21" s="124"/>
    </row>
    <row r="22" spans="1:15" x14ac:dyDescent="0.2">
      <c r="A22" s="42"/>
      <c r="C22" s="47"/>
      <c r="D22" s="18"/>
      <c r="E22" s="18"/>
      <c r="F22" s="1230"/>
      <c r="G22" s="1230"/>
      <c r="H22" s="1230"/>
      <c r="I22" s="1230"/>
      <c r="J22" s="1230"/>
      <c r="K22" s="1230"/>
      <c r="L22" s="1230"/>
      <c r="M22" s="75"/>
      <c r="N22" s="69"/>
      <c r="O22" s="44"/>
    </row>
    <row r="23" spans="1:15" ht="12.75" customHeight="1" thickBot="1" x14ac:dyDescent="0.25">
      <c r="A23" s="42"/>
      <c r="C23" s="47"/>
      <c r="D23" s="18"/>
      <c r="E23" s="18"/>
      <c r="F23" s="18"/>
      <c r="G23" s="18"/>
      <c r="H23" s="18"/>
      <c r="I23" s="18"/>
      <c r="J23" s="18"/>
      <c r="K23" s="18"/>
      <c r="L23" s="18"/>
      <c r="M23" s="18"/>
      <c r="N23" s="51"/>
      <c r="O23" s="44"/>
    </row>
    <row r="24" spans="1:15" ht="15" thickBot="1" x14ac:dyDescent="0.25">
      <c r="A24" s="42"/>
      <c r="C24" s="47"/>
      <c r="D24" s="87"/>
      <c r="E24" s="18"/>
      <c r="F24" s="1231" t="s">
        <v>116</v>
      </c>
      <c r="G24" s="1231"/>
      <c r="H24" s="1231"/>
      <c r="I24" s="1231"/>
      <c r="J24" s="1231"/>
      <c r="K24" s="1231"/>
      <c r="L24" s="1231"/>
      <c r="M24" s="76"/>
      <c r="N24" s="70"/>
      <c r="O24" s="50"/>
    </row>
    <row r="25" spans="1:15" x14ac:dyDescent="0.2">
      <c r="A25" s="42"/>
      <c r="C25" s="47"/>
      <c r="D25" s="18"/>
      <c r="E25" s="18"/>
      <c r="F25" s="18" t="s">
        <v>166</v>
      </c>
      <c r="G25" s="18"/>
      <c r="H25" s="18"/>
      <c r="I25" s="18"/>
      <c r="J25" s="18"/>
      <c r="K25" s="18"/>
      <c r="L25" s="18"/>
      <c r="M25" s="76"/>
      <c r="N25" s="70"/>
      <c r="O25" s="44"/>
    </row>
    <row r="26" spans="1:15" x14ac:dyDescent="0.2">
      <c r="A26" s="42"/>
      <c r="C26" s="47"/>
      <c r="D26" s="18"/>
      <c r="E26" s="18"/>
      <c r="F26" s="1231"/>
      <c r="G26" s="1231"/>
      <c r="H26" s="1231"/>
      <c r="I26" s="1231"/>
      <c r="J26" s="1231"/>
      <c r="K26" s="1231"/>
      <c r="L26" s="1231"/>
      <c r="M26" s="76"/>
      <c r="N26" s="70"/>
      <c r="O26" s="44"/>
    </row>
    <row r="27" spans="1:15" ht="14.85" customHeight="1" x14ac:dyDescent="0.2">
      <c r="A27" s="52"/>
      <c r="B27" s="53"/>
      <c r="C27" s="54"/>
      <c r="D27" s="55"/>
      <c r="E27" s="55"/>
      <c r="F27" s="55"/>
      <c r="G27" s="55"/>
      <c r="H27" s="55"/>
      <c r="I27" s="55"/>
      <c r="J27" s="55"/>
      <c r="K27" s="55"/>
      <c r="L27" s="55"/>
      <c r="M27" s="55"/>
      <c r="N27" s="56"/>
      <c r="O27" s="44"/>
    </row>
    <row r="28" spans="1:15" ht="14.85" customHeight="1" x14ac:dyDescent="0.2">
      <c r="A28" s="42"/>
      <c r="C28" s="47"/>
      <c r="D28" s="18"/>
      <c r="E28" s="18"/>
      <c r="F28" s="18"/>
      <c r="G28" s="18"/>
      <c r="H28" s="18"/>
      <c r="I28" s="18"/>
      <c r="J28" s="18"/>
      <c r="K28" s="18"/>
      <c r="L28" s="18"/>
      <c r="M28" s="18"/>
      <c r="N28" s="51"/>
      <c r="O28" s="44"/>
    </row>
    <row r="29" spans="1:15" s="80" customFormat="1" ht="15" x14ac:dyDescent="0.2">
      <c r="A29" s="82"/>
      <c r="B29" s="83" t="s">
        <v>117</v>
      </c>
      <c r="C29" s="83" t="s">
        <v>118</v>
      </c>
      <c r="D29" s="83"/>
      <c r="E29" s="83"/>
      <c r="F29" s="83"/>
      <c r="G29" s="83"/>
      <c r="H29" s="83"/>
      <c r="I29" s="83"/>
      <c r="J29" s="83"/>
      <c r="L29" s="83"/>
      <c r="M29" s="83"/>
      <c r="N29" s="86"/>
    </row>
    <row r="30" spans="1:15" ht="12.75" customHeight="1" x14ac:dyDescent="0.2">
      <c r="A30" s="42"/>
      <c r="C30" s="47"/>
      <c r="D30" s="18"/>
      <c r="E30" s="18"/>
      <c r="F30" s="18"/>
      <c r="G30" s="18"/>
      <c r="H30" s="18"/>
      <c r="I30" s="18"/>
      <c r="J30" s="18"/>
      <c r="K30" s="18"/>
      <c r="L30" s="18"/>
      <c r="M30" s="18"/>
      <c r="N30" s="51"/>
      <c r="O30" s="44"/>
    </row>
    <row r="31" spans="1:15" x14ac:dyDescent="0.2">
      <c r="A31" s="42"/>
      <c r="B31" t="s">
        <v>144</v>
      </c>
      <c r="N31" s="45"/>
      <c r="O31" s="44"/>
    </row>
    <row r="32" spans="1:15" x14ac:dyDescent="0.2">
      <c r="A32" s="42"/>
      <c r="B32" s="47" t="s">
        <v>145</v>
      </c>
      <c r="N32" s="45"/>
      <c r="O32" s="44"/>
    </row>
    <row r="33" spans="1:15" x14ac:dyDescent="0.2">
      <c r="A33" s="42"/>
      <c r="B33" s="47" t="s">
        <v>146</v>
      </c>
      <c r="N33" s="45"/>
      <c r="O33" s="44"/>
    </row>
    <row r="34" spans="1:15" x14ac:dyDescent="0.2">
      <c r="A34" s="42"/>
      <c r="B34" s="47" t="s">
        <v>147</v>
      </c>
      <c r="N34" s="45"/>
      <c r="O34" s="44"/>
    </row>
    <row r="35" spans="1:15" x14ac:dyDescent="0.2">
      <c r="A35" s="42"/>
      <c r="B35" s="47" t="s">
        <v>148</v>
      </c>
      <c r="N35" s="45"/>
      <c r="O35" s="44"/>
    </row>
    <row r="36" spans="1:15" x14ac:dyDescent="0.2">
      <c r="A36" s="42"/>
      <c r="B36"/>
      <c r="N36" s="45"/>
      <c r="O36" s="44"/>
    </row>
    <row r="37" spans="1:15" x14ac:dyDescent="0.2">
      <c r="A37" s="42"/>
      <c r="B37" s="47" t="s">
        <v>119</v>
      </c>
      <c r="C37" s="47"/>
      <c r="D37" s="47"/>
      <c r="E37" s="47"/>
      <c r="F37" s="47"/>
      <c r="G37" s="47"/>
      <c r="H37" s="47"/>
      <c r="I37" s="47"/>
      <c r="J37" s="47"/>
      <c r="K37" s="47"/>
      <c r="L37" s="47"/>
      <c r="M37" s="47"/>
      <c r="N37" s="45"/>
      <c r="O37" s="44"/>
    </row>
    <row r="38" spans="1:15" x14ac:dyDescent="0.2">
      <c r="A38" s="42"/>
      <c r="B38" s="1232"/>
      <c r="C38" s="1233"/>
      <c r="D38" s="1233"/>
      <c r="E38" s="1233"/>
      <c r="F38" s="1233"/>
      <c r="G38" s="1233"/>
      <c r="H38" s="1233"/>
      <c r="I38" s="1233"/>
      <c r="J38" s="1233"/>
      <c r="K38" s="1233"/>
      <c r="L38" s="1233"/>
      <c r="M38" s="1233"/>
      <c r="N38" s="45"/>
      <c r="O38" s="1"/>
    </row>
    <row r="39" spans="1:15" x14ac:dyDescent="0.2">
      <c r="A39" s="42"/>
      <c r="B39" s="1233"/>
      <c r="C39" s="1233"/>
      <c r="D39" s="1233"/>
      <c r="E39" s="1233"/>
      <c r="F39" s="1233"/>
      <c r="G39" s="1233"/>
      <c r="H39" s="1233"/>
      <c r="I39" s="1233"/>
      <c r="J39" s="1233"/>
      <c r="K39" s="1233"/>
      <c r="L39" s="1233"/>
      <c r="M39" s="1233"/>
      <c r="N39" s="45"/>
      <c r="O39" s="44"/>
    </row>
    <row r="40" spans="1:15" x14ac:dyDescent="0.2">
      <c r="A40" s="42"/>
      <c r="B40" s="1233"/>
      <c r="C40" s="1233"/>
      <c r="D40" s="1233"/>
      <c r="E40" s="1233"/>
      <c r="F40" s="1233"/>
      <c r="G40" s="1233"/>
      <c r="H40" s="1233"/>
      <c r="I40" s="1233"/>
      <c r="J40" s="1233"/>
      <c r="K40" s="1233"/>
      <c r="L40" s="1233"/>
      <c r="M40" s="1233"/>
      <c r="N40" s="45"/>
      <c r="O40" s="44"/>
    </row>
    <row r="41" spans="1:15" x14ac:dyDescent="0.2">
      <c r="A41" s="42"/>
      <c r="B41" s="1233"/>
      <c r="C41" s="1233"/>
      <c r="D41" s="1233"/>
      <c r="E41" s="1233"/>
      <c r="F41" s="1233"/>
      <c r="G41" s="1233"/>
      <c r="H41" s="1233"/>
      <c r="I41" s="1233"/>
      <c r="J41" s="1233"/>
      <c r="K41" s="1233"/>
      <c r="L41" s="1233"/>
      <c r="M41" s="1233"/>
      <c r="N41" s="45"/>
      <c r="O41" s="44"/>
    </row>
    <row r="42" spans="1:15" x14ac:dyDescent="0.2">
      <c r="A42" s="42"/>
      <c r="B42" s="1233"/>
      <c r="C42" s="1233"/>
      <c r="D42" s="1233"/>
      <c r="E42" s="1233"/>
      <c r="F42" s="1233"/>
      <c r="G42" s="1233"/>
      <c r="H42" s="1233"/>
      <c r="I42" s="1233"/>
      <c r="J42" s="1233"/>
      <c r="K42" s="1233"/>
      <c r="L42" s="1233"/>
      <c r="M42" s="1233"/>
      <c r="N42" s="45"/>
      <c r="O42" s="44"/>
    </row>
    <row r="43" spans="1:15" x14ac:dyDescent="0.2">
      <c r="A43" s="42"/>
      <c r="B43" s="1233"/>
      <c r="C43" s="1233"/>
      <c r="D43" s="1233"/>
      <c r="E43" s="1233"/>
      <c r="F43" s="1233"/>
      <c r="G43" s="1233"/>
      <c r="H43" s="1233"/>
      <c r="I43" s="1233"/>
      <c r="J43" s="1233"/>
      <c r="K43" s="1233"/>
      <c r="L43" s="1233"/>
      <c r="M43" s="1233"/>
      <c r="N43" s="45"/>
      <c r="O43" s="44"/>
    </row>
    <row r="44" spans="1:15" x14ac:dyDescent="0.2">
      <c r="A44" s="42"/>
      <c r="B44" s="1233"/>
      <c r="C44" s="1233"/>
      <c r="D44" s="1233"/>
      <c r="E44" s="1233"/>
      <c r="F44" s="1233"/>
      <c r="G44" s="1233"/>
      <c r="H44" s="1233"/>
      <c r="I44" s="1233"/>
      <c r="J44" s="1233"/>
      <c r="K44" s="1233"/>
      <c r="L44" s="1233"/>
      <c r="M44" s="1233"/>
      <c r="N44" s="45"/>
      <c r="O44" s="44"/>
    </row>
    <row r="45" spans="1:15" x14ac:dyDescent="0.2">
      <c r="A45" s="42"/>
      <c r="B45" s="1233"/>
      <c r="C45" s="1233"/>
      <c r="D45" s="1233"/>
      <c r="E45" s="1233"/>
      <c r="F45" s="1233"/>
      <c r="G45" s="1233"/>
      <c r="H45" s="1233"/>
      <c r="I45" s="1233"/>
      <c r="J45" s="1233"/>
      <c r="K45" s="1233"/>
      <c r="L45" s="1233"/>
      <c r="M45" s="1233"/>
      <c r="N45" s="45"/>
      <c r="O45" s="44"/>
    </row>
    <row r="46" spans="1:15" x14ac:dyDescent="0.2">
      <c r="A46" s="42"/>
      <c r="B46" s="1233"/>
      <c r="C46" s="1233"/>
      <c r="D46" s="1233"/>
      <c r="E46" s="1233"/>
      <c r="F46" s="1233"/>
      <c r="G46" s="1233"/>
      <c r="H46" s="1233"/>
      <c r="I46" s="1233"/>
      <c r="J46" s="1233"/>
      <c r="K46" s="1233"/>
      <c r="L46" s="1233"/>
      <c r="M46" s="1233"/>
      <c r="N46" s="45"/>
      <c r="O46" s="44"/>
    </row>
    <row r="47" spans="1:15" x14ac:dyDescent="0.2">
      <c r="A47" s="42"/>
      <c r="B47" s="1233"/>
      <c r="C47" s="1233"/>
      <c r="D47" s="1233"/>
      <c r="E47" s="1233"/>
      <c r="F47" s="1233"/>
      <c r="G47" s="1233"/>
      <c r="H47" s="1233"/>
      <c r="I47" s="1233"/>
      <c r="J47" s="1233"/>
      <c r="K47" s="1233"/>
      <c r="L47" s="1233"/>
      <c r="M47" s="1233"/>
      <c r="N47" s="45"/>
      <c r="O47" s="44"/>
    </row>
    <row r="48" spans="1:15" x14ac:dyDescent="0.2">
      <c r="A48" s="42"/>
      <c r="B48" s="1233"/>
      <c r="C48" s="1233"/>
      <c r="D48" s="1233"/>
      <c r="E48" s="1233"/>
      <c r="F48" s="1233"/>
      <c r="G48" s="1233"/>
      <c r="H48" s="1233"/>
      <c r="I48" s="1233"/>
      <c r="J48" s="1233"/>
      <c r="K48" s="1233"/>
      <c r="L48" s="1233"/>
      <c r="M48" s="1233"/>
      <c r="N48" s="45"/>
      <c r="O48" s="44"/>
    </row>
    <row r="49" spans="1:15" x14ac:dyDescent="0.2">
      <c r="A49" s="42"/>
      <c r="B49" s="1233"/>
      <c r="C49" s="1233"/>
      <c r="D49" s="1233"/>
      <c r="E49" s="1233"/>
      <c r="F49" s="1233"/>
      <c r="G49" s="1233"/>
      <c r="H49" s="1233"/>
      <c r="I49" s="1233"/>
      <c r="J49" s="1233"/>
      <c r="K49" s="1233"/>
      <c r="L49" s="1233"/>
      <c r="M49" s="1233"/>
      <c r="N49" s="45"/>
      <c r="O49" s="44"/>
    </row>
    <row r="50" spans="1:15" x14ac:dyDescent="0.2">
      <c r="A50" s="42"/>
      <c r="B50" s="1233"/>
      <c r="C50" s="1233"/>
      <c r="D50" s="1233"/>
      <c r="E50" s="1233"/>
      <c r="F50" s="1233"/>
      <c r="G50" s="1233"/>
      <c r="H50" s="1233"/>
      <c r="I50" s="1233"/>
      <c r="J50" s="1233"/>
      <c r="K50" s="1233"/>
      <c r="L50" s="1233"/>
      <c r="M50" s="1233"/>
      <c r="N50" s="45"/>
      <c r="O50" s="44"/>
    </row>
    <row r="51" spans="1:15" x14ac:dyDescent="0.2">
      <c r="A51" s="42"/>
      <c r="B51" s="1233"/>
      <c r="C51" s="1233"/>
      <c r="D51" s="1233"/>
      <c r="E51" s="1233"/>
      <c r="F51" s="1233"/>
      <c r="G51" s="1233"/>
      <c r="H51" s="1233"/>
      <c r="I51" s="1233"/>
      <c r="J51" s="1233"/>
      <c r="K51" s="1233"/>
      <c r="L51" s="1233"/>
      <c r="M51" s="1233"/>
      <c r="N51" s="45"/>
      <c r="O51" s="44"/>
    </row>
    <row r="52" spans="1:15" x14ac:dyDescent="0.2">
      <c r="A52" s="42"/>
      <c r="B52" s="1233"/>
      <c r="C52" s="1233"/>
      <c r="D52" s="1233"/>
      <c r="E52" s="1233"/>
      <c r="F52" s="1233"/>
      <c r="G52" s="1233"/>
      <c r="H52" s="1233"/>
      <c r="I52" s="1233"/>
      <c r="J52" s="1233"/>
      <c r="K52" s="1233"/>
      <c r="L52" s="1233"/>
      <c r="M52" s="1233"/>
      <c r="N52" s="45"/>
      <c r="O52" s="44"/>
    </row>
    <row r="53" spans="1:15" x14ac:dyDescent="0.2">
      <c r="A53" s="42"/>
      <c r="B53" s="1233"/>
      <c r="C53" s="1233"/>
      <c r="D53" s="1233"/>
      <c r="E53" s="1233"/>
      <c r="F53" s="1233"/>
      <c r="G53" s="1233"/>
      <c r="H53" s="1233"/>
      <c r="I53" s="1233"/>
      <c r="J53" s="1233"/>
      <c r="K53" s="1233"/>
      <c r="L53" s="1233"/>
      <c r="M53" s="1233"/>
      <c r="N53" s="45"/>
      <c r="O53" s="44"/>
    </row>
    <row r="54" spans="1:15" x14ac:dyDescent="0.2">
      <c r="A54" s="42"/>
      <c r="B54" s="1233"/>
      <c r="C54" s="1233"/>
      <c r="D54" s="1233"/>
      <c r="E54" s="1233"/>
      <c r="F54" s="1233"/>
      <c r="G54" s="1233"/>
      <c r="H54" s="1233"/>
      <c r="I54" s="1233"/>
      <c r="J54" s="1233"/>
      <c r="K54" s="1233"/>
      <c r="L54" s="1233"/>
      <c r="M54" s="1233"/>
      <c r="N54" s="45"/>
      <c r="O54" s="44"/>
    </row>
    <row r="55" spans="1:15" x14ac:dyDescent="0.2">
      <c r="A55" s="42"/>
      <c r="B55" s="1233"/>
      <c r="C55" s="1233"/>
      <c r="D55" s="1233"/>
      <c r="E55" s="1233"/>
      <c r="F55" s="1233"/>
      <c r="G55" s="1233"/>
      <c r="H55" s="1233"/>
      <c r="I55" s="1233"/>
      <c r="J55" s="1233"/>
      <c r="K55" s="1233"/>
      <c r="L55" s="1233"/>
      <c r="M55" s="1233"/>
      <c r="N55" s="45"/>
      <c r="O55" s="44"/>
    </row>
    <row r="56" spans="1:15" x14ac:dyDescent="0.2">
      <c r="A56" s="42"/>
      <c r="B56" s="1233"/>
      <c r="C56" s="1233"/>
      <c r="D56" s="1233"/>
      <c r="E56" s="1233"/>
      <c r="F56" s="1233"/>
      <c r="G56" s="1233"/>
      <c r="H56" s="1233"/>
      <c r="I56" s="1233"/>
      <c r="J56" s="1233"/>
      <c r="K56" s="1233"/>
      <c r="L56" s="1233"/>
      <c r="M56" s="1233"/>
      <c r="N56" s="45"/>
      <c r="O56" s="44"/>
    </row>
    <row r="57" spans="1:15" x14ac:dyDescent="0.2">
      <c r="A57" s="42"/>
      <c r="N57" s="45"/>
      <c r="O57" s="44"/>
    </row>
    <row r="58" spans="1:15" x14ac:dyDescent="0.2">
      <c r="A58" s="42"/>
      <c r="N58" s="45"/>
      <c r="O58" s="44"/>
    </row>
    <row r="59" spans="1:15" x14ac:dyDescent="0.2">
      <c r="A59" s="42"/>
      <c r="J59" s="1234"/>
      <c r="K59" s="1234"/>
      <c r="L59" s="1234"/>
      <c r="M59" s="77"/>
      <c r="N59" s="45"/>
      <c r="O59" s="44"/>
    </row>
    <row r="60" spans="1:15" x14ac:dyDescent="0.2">
      <c r="A60" s="42"/>
      <c r="I60" s="57"/>
      <c r="N60" s="45"/>
      <c r="O60" s="44"/>
    </row>
    <row r="61" spans="1:15" x14ac:dyDescent="0.2">
      <c r="A61" s="42"/>
      <c r="N61" s="45"/>
      <c r="O61" s="44"/>
    </row>
    <row r="62" spans="1:15" x14ac:dyDescent="0.2">
      <c r="A62" s="42"/>
      <c r="B62" s="1228"/>
      <c r="C62" s="1115"/>
      <c r="D62" s="1115"/>
      <c r="E62" s="1115"/>
      <c r="F62" s="1115"/>
      <c r="G62" s="1115"/>
      <c r="H62" s="1115"/>
      <c r="I62" s="1115"/>
      <c r="K62" s="1228"/>
      <c r="L62" s="1115"/>
      <c r="M62" s="1115"/>
      <c r="N62" s="45"/>
      <c r="O62" s="44"/>
    </row>
    <row r="63" spans="1:15" x14ac:dyDescent="0.2">
      <c r="A63" s="42"/>
      <c r="B63" s="47" t="s">
        <v>68</v>
      </c>
      <c r="C63"/>
      <c r="D63"/>
      <c r="E63"/>
      <c r="F63"/>
      <c r="G63"/>
      <c r="H63"/>
      <c r="I63"/>
      <c r="J63"/>
      <c r="K63" s="1226" t="s">
        <v>120</v>
      </c>
      <c r="L63" s="1226"/>
      <c r="M63" s="1226"/>
      <c r="N63" s="45"/>
      <c r="O63" s="44"/>
    </row>
    <row r="64" spans="1:15" x14ac:dyDescent="0.2">
      <c r="A64" s="58"/>
      <c r="B64" s="89"/>
      <c r="C64" s="89"/>
      <c r="D64" s="89"/>
      <c r="E64" s="89"/>
      <c r="F64" s="89"/>
      <c r="G64" s="89"/>
      <c r="H64" s="89"/>
      <c r="I64" s="89"/>
      <c r="J64" s="90"/>
      <c r="K64" s="1227" t="s">
        <v>121</v>
      </c>
      <c r="L64" s="1227"/>
      <c r="M64" s="1227"/>
      <c r="N64" s="59"/>
      <c r="O64" s="44"/>
    </row>
  </sheetData>
  <sheetProtection algorithmName="SHA-512" hashValue="ujOzqnrS6NaZqaAkz/pfpU5qTKAa80DxWubHDaiKkeWGaUhyfZKJP8pTiZW7S10pqmsHzUSKh/FESCRYscUJ6Q==" saltValue="Jc5HmktvzDZX7il2HQ0SJA==" spinCount="100000" sheet="1" selectLockedCells="1"/>
  <customSheetViews>
    <customSheetView guid="{9119B1A0-FD79-4FE4-B78E-10E0AEB8080B}" showPageBreaks="1" showGridLines="0" fitToPage="1" printArea="1" view="pageLayout">
      <selection activeCell="K6" activeCellId="8" sqref="B62:I62 K62:M62 B38:M56 D24 D20 D15 D12 H6 K6"/>
      <pageMargins left="0.70866141732283472" right="0.70866141732283472" top="0.78740157480314965" bottom="0.78740157480314965" header="0.31496062992125984" footer="0.31496062992125984"/>
      <pageSetup paperSize="9" scale="79" orientation="portrait" r:id="rId1"/>
      <headerFooter>
        <oddHeader>&amp;C&amp;9Bewohnervertretung</oddHeader>
        <oddFooter>&amp;L&amp;8Version: 13.11.2019&amp;C&amp;8Verhandlungsunterlagen SGB XI (vereinfacht)</oddFooter>
      </headerFooter>
    </customSheetView>
  </customSheetViews>
  <mergeCells count="17">
    <mergeCell ref="K63:M63"/>
    <mergeCell ref="K64:M64"/>
    <mergeCell ref="K62:M62"/>
    <mergeCell ref="B62:I62"/>
    <mergeCell ref="B8:M8"/>
    <mergeCell ref="F20:L20"/>
    <mergeCell ref="F24:L24"/>
    <mergeCell ref="B38:M56"/>
    <mergeCell ref="J59:L59"/>
    <mergeCell ref="F22:L22"/>
    <mergeCell ref="F26:L26"/>
    <mergeCell ref="A1:N1"/>
    <mergeCell ref="A2:N2"/>
    <mergeCell ref="A3:N3"/>
    <mergeCell ref="A4:N4"/>
    <mergeCell ref="B6:G6"/>
    <mergeCell ref="L6:M6"/>
  </mergeCells>
  <pageMargins left="0.70866141732283472" right="0.70866141732283472" top="0.78740157480314965" bottom="0.78740157480314965" header="0.31496062992125984" footer="0.31496062992125984"/>
  <pageSetup paperSize="9" scale="79" orientation="portrait"/>
  <headerFooter>
    <oddHeader>&amp;C&amp;9Bewohnervertretung</oddHeader>
    <oddFooter>&amp;L&amp;8Version: 21.11.2024&amp;C&amp;8Verhandlungsunterlagen SGB XI (vereinfacht C1)&amp;R&amp;8PSK-Beschluss vom 07.11.2024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7"/>
  <sheetViews>
    <sheetView showGridLines="0" zoomScaleNormal="100" zoomScalePageLayoutView="85" workbookViewId="0">
      <selection activeCell="I6" sqref="I6"/>
    </sheetView>
  </sheetViews>
  <sheetFormatPr baseColWidth="10" defaultColWidth="11" defaultRowHeight="14.25" x14ac:dyDescent="0.2"/>
  <cols>
    <col min="1" max="1" width="1.75" style="3" customWidth="1"/>
    <col min="2" max="2" width="24.125" style="3" customWidth="1"/>
    <col min="3" max="8" width="13.625" style="3" customWidth="1"/>
    <col min="9" max="9" width="18.5" style="3" customWidth="1"/>
    <col min="10" max="12" width="13.625" style="3" customWidth="1"/>
    <col min="13" max="13" width="1.625" style="3" customWidth="1"/>
    <col min="14" max="16384" width="11" style="3"/>
  </cols>
  <sheetData>
    <row r="1" spans="1:13" ht="15" customHeight="1" x14ac:dyDescent="0.2">
      <c r="A1" s="1235" t="s">
        <v>397</v>
      </c>
      <c r="B1" s="1236"/>
      <c r="C1" s="1236"/>
      <c r="D1" s="1236"/>
      <c r="E1" s="1236"/>
      <c r="F1" s="1236"/>
      <c r="G1" s="1236"/>
      <c r="H1" s="1236"/>
      <c r="I1" s="1236"/>
      <c r="J1" s="1236"/>
      <c r="K1" s="1236"/>
      <c r="L1" s="1236"/>
      <c r="M1" s="1202"/>
    </row>
    <row r="2" spans="1:13" ht="15" customHeight="1" x14ac:dyDescent="0.2">
      <c r="A2" s="1237"/>
      <c r="B2" s="1238"/>
      <c r="C2" s="1238"/>
      <c r="D2" s="1238"/>
      <c r="E2" s="1238"/>
      <c r="F2" s="1238"/>
      <c r="G2" s="1238"/>
      <c r="H2" s="1238"/>
      <c r="I2" s="1238"/>
      <c r="J2" s="1238"/>
      <c r="K2" s="1238"/>
      <c r="L2" s="1238"/>
      <c r="M2" s="1239"/>
    </row>
    <row r="3" spans="1:13" ht="40.5" customHeight="1" x14ac:dyDescent="0.2">
      <c r="A3" s="1237"/>
      <c r="B3" s="1238"/>
      <c r="C3" s="1238"/>
      <c r="D3" s="1238"/>
      <c r="E3" s="1238"/>
      <c r="F3" s="1238"/>
      <c r="G3" s="1238"/>
      <c r="H3" s="1238"/>
      <c r="I3" s="1238"/>
      <c r="J3" s="1238"/>
      <c r="K3" s="1238"/>
      <c r="L3" s="1238"/>
      <c r="M3" s="1239"/>
    </row>
    <row r="4" spans="1:13" x14ac:dyDescent="0.2">
      <c r="A4" s="764"/>
      <c r="B4" s="765"/>
      <c r="C4" s="765"/>
      <c r="D4" s="765"/>
      <c r="E4" s="765"/>
      <c r="F4" s="765"/>
      <c r="G4" s="765"/>
      <c r="H4" s="765"/>
      <c r="I4" s="765"/>
      <c r="J4" s="765"/>
      <c r="K4" s="765"/>
      <c r="L4" s="765"/>
      <c r="M4" s="4"/>
    </row>
    <row r="5" spans="1:13" x14ac:dyDescent="0.2">
      <c r="A5" s="764"/>
      <c r="B5" s="1240" t="s">
        <v>378</v>
      </c>
      <c r="C5" s="1240"/>
      <c r="D5" s="1240"/>
      <c r="E5" s="766"/>
      <c r="F5" s="767" t="s">
        <v>363</v>
      </c>
      <c r="G5" s="768" t="str">
        <f>IF('C1_Allgemeine Angaben'!D6:D6&gt;0,'C1_Allgemeine Angaben'!D6:D6,"")</f>
        <v/>
      </c>
      <c r="H5" s="769"/>
      <c r="I5" s="769"/>
      <c r="J5" s="765"/>
      <c r="K5" s="765"/>
      <c r="L5" s="765"/>
      <c r="M5" s="4"/>
    </row>
    <row r="6" spans="1:13" x14ac:dyDescent="0.2">
      <c r="A6" s="764"/>
      <c r="B6" s="1241" t="str">
        <f>IF('C1_Allgemeine Angaben'!D12:D12&gt;0,'C1_Allgemeine Angaben'!D12:D12,"")</f>
        <v/>
      </c>
      <c r="C6" s="1241"/>
      <c r="D6" s="1241"/>
      <c r="E6" s="766"/>
      <c r="F6" s="770" t="s">
        <v>360</v>
      </c>
      <c r="G6" s="771" t="str">
        <f>IF('C1_Allgemeine Angaben'!D18:D18&lt;0,'C1_Allgemeine Angaben'!D18:D18,"")</f>
        <v/>
      </c>
      <c r="H6" s="769"/>
      <c r="I6" s="769"/>
      <c r="J6" s="765"/>
      <c r="K6" s="765"/>
      <c r="L6" s="765"/>
      <c r="M6" s="4"/>
    </row>
    <row r="7" spans="1:13" x14ac:dyDescent="0.2">
      <c r="A7" s="764"/>
      <c r="B7" s="1241" t="str">
        <f>IF('C1_Allgemeine Angaben'!D14:D14&gt;0,'C1_Allgemeine Angaben'!D14:D14,"")</f>
        <v/>
      </c>
      <c r="C7" s="1241"/>
      <c r="D7" s="1241"/>
      <c r="E7" s="766"/>
      <c r="F7" s="770" t="s">
        <v>361</v>
      </c>
      <c r="G7" s="771" t="str">
        <f>IF('C1_Allgemeine Angaben'!J18:J18&gt;0,'C1_Allgemeine Angaben'!J18:J18,"")</f>
        <v/>
      </c>
      <c r="H7" s="769"/>
      <c r="I7" s="769"/>
      <c r="J7" s="765"/>
      <c r="K7" s="765"/>
      <c r="L7" s="765"/>
      <c r="M7" s="4"/>
    </row>
    <row r="8" spans="1:13" x14ac:dyDescent="0.2">
      <c r="A8" s="764"/>
      <c r="B8" s="1241" t="str">
        <f>IF('C1_Allgemeine Angaben'!D16:D16&gt;0,'C1_Allgemeine Angaben'!D16:D16,"")</f>
        <v/>
      </c>
      <c r="C8" s="1241"/>
      <c r="D8" s="1241"/>
      <c r="E8" s="766"/>
      <c r="F8" s="770" t="s">
        <v>362</v>
      </c>
      <c r="G8" s="771" t="str">
        <f>IF('C1_Allgemeine Angaben'!D20:D20&gt;0,'C1_Allgemeine Angaben'!D20:D20,"")</f>
        <v/>
      </c>
      <c r="H8" s="769"/>
      <c r="I8" s="769"/>
      <c r="J8" s="765"/>
      <c r="K8" s="765"/>
      <c r="L8" s="765"/>
      <c r="M8" s="4"/>
    </row>
    <row r="9" spans="1:13" s="765" customFormat="1" ht="14.25" customHeight="1" x14ac:dyDescent="0.2">
      <c r="A9" s="764"/>
      <c r="B9" s="766" t="str">
        <f>'C1_Allgemeine Angaben'!K6</f>
        <v>Institutionskennzeichen (IK):</v>
      </c>
      <c r="C9" s="1241">
        <f>'C1_Allgemeine Angaben'!L6:L6</f>
        <v>0</v>
      </c>
      <c r="D9" s="1241"/>
      <c r="E9" s="766"/>
      <c r="F9" s="772" t="s">
        <v>407</v>
      </c>
      <c r="G9" s="773"/>
      <c r="H9" s="774"/>
      <c r="I9" s="775">
        <f>'C1_Allgemeine Angaben'!L7:L7</f>
        <v>0</v>
      </c>
      <c r="M9" s="776"/>
    </row>
    <row r="10" spans="1:13" x14ac:dyDescent="0.2">
      <c r="A10" s="764"/>
      <c r="B10" s="1240" t="s">
        <v>359</v>
      </c>
      <c r="C10" s="1240"/>
      <c r="D10" s="1240"/>
      <c r="E10" s="766"/>
      <c r="F10" s="767"/>
      <c r="G10" s="766"/>
      <c r="H10" s="766"/>
      <c r="I10" s="766"/>
      <c r="J10" s="765"/>
      <c r="K10" s="765"/>
      <c r="L10" s="765"/>
      <c r="M10" s="4"/>
    </row>
    <row r="11" spans="1:13" x14ac:dyDescent="0.2">
      <c r="A11" s="764"/>
      <c r="B11" s="1241" t="str">
        <f>IF('C1_Allgemeine Angaben'!D26:D26&gt;0,'C1_Allgemeine Angaben'!D26:D26,"")</f>
        <v/>
      </c>
      <c r="C11" s="1241"/>
      <c r="D11" s="1241"/>
      <c r="E11" s="766"/>
      <c r="F11" s="770" t="s">
        <v>360</v>
      </c>
      <c r="G11" s="771" t="str">
        <f>IF('C1_Allgemeine Angaben'!D32:D32&gt;0,'C1_Allgemeine Angaben'!D32:D32,"")</f>
        <v/>
      </c>
      <c r="H11" s="769"/>
      <c r="I11" s="769"/>
      <c r="J11" s="765"/>
      <c r="K11" s="765"/>
      <c r="L11" s="765"/>
      <c r="M11" s="4"/>
    </row>
    <row r="12" spans="1:13" x14ac:dyDescent="0.2">
      <c r="A12" s="764"/>
      <c r="B12" s="1241" t="str">
        <f>IF('C1_Allgemeine Angaben'!D28:D28&gt;0,'C1_Allgemeine Angaben'!D28:D28,"")</f>
        <v/>
      </c>
      <c r="C12" s="1241"/>
      <c r="D12" s="1241"/>
      <c r="E12" s="766"/>
      <c r="F12" s="770" t="s">
        <v>361</v>
      </c>
      <c r="G12" s="771" t="str">
        <f>IF('C1_Allgemeine Angaben'!J32:J32&gt;0,'C1_Allgemeine Angaben'!J32:J32,"")</f>
        <v/>
      </c>
      <c r="H12" s="769"/>
      <c r="I12" s="769"/>
      <c r="J12" s="765"/>
      <c r="K12" s="765"/>
      <c r="L12" s="765"/>
      <c r="M12" s="4"/>
    </row>
    <row r="13" spans="1:13" x14ac:dyDescent="0.2">
      <c r="A13" s="764"/>
      <c r="B13" s="1241" t="str">
        <f>IF('C1_Allgemeine Angaben'!D30:D30&gt;0,'C1_Allgemeine Angaben'!D30:D30,"")</f>
        <v/>
      </c>
      <c r="C13" s="1241"/>
      <c r="D13" s="1241"/>
      <c r="E13" s="766"/>
      <c r="F13" s="770" t="s">
        <v>362</v>
      </c>
      <c r="G13" s="771" t="str">
        <f>IF('C1_Allgemeine Angaben'!D34:D34&gt;0,'C1_Allgemeine Angaben'!D34:D34,"")</f>
        <v/>
      </c>
      <c r="H13" s="769"/>
      <c r="I13" s="769"/>
      <c r="J13" s="765"/>
      <c r="K13" s="765"/>
      <c r="L13" s="765"/>
      <c r="M13" s="4"/>
    </row>
    <row r="14" spans="1:13" ht="9.9499999999999993" customHeight="1" x14ac:dyDescent="0.2">
      <c r="A14" s="764"/>
      <c r="B14" s="777"/>
      <c r="C14" s="777"/>
      <c r="D14" s="777"/>
      <c r="E14" s="766"/>
      <c r="F14" s="778"/>
      <c r="G14" s="778"/>
      <c r="H14" s="766"/>
      <c r="I14" s="766"/>
      <c r="J14" s="765"/>
      <c r="K14" s="765"/>
      <c r="L14" s="765"/>
      <c r="M14" s="4"/>
    </row>
    <row r="15" spans="1:13" x14ac:dyDescent="0.2">
      <c r="A15" s="779"/>
      <c r="B15" s="1245" t="s">
        <v>400</v>
      </c>
      <c r="C15" s="1246"/>
      <c r="D15" s="1246"/>
      <c r="E15" s="780" t="s">
        <v>401</v>
      </c>
      <c r="F15" s="781" t="str">
        <f>IF('C1_Allgemeine Angaben'!H50&gt;0,'C1_Allgemeine Angaben'!H50,"")</f>
        <v/>
      </c>
      <c r="G15" s="782" t="s">
        <v>364</v>
      </c>
      <c r="H15" s="781">
        <f>IFERROR('C1_Allgemeine Angaben'!K50,"")</f>
        <v>0</v>
      </c>
      <c r="I15" s="783"/>
      <c r="J15" s="765"/>
      <c r="K15" s="765"/>
      <c r="L15" s="765"/>
      <c r="M15" s="4"/>
    </row>
    <row r="16" spans="1:13" ht="9.9499999999999993" customHeight="1" x14ac:dyDescent="0.2">
      <c r="A16" s="779"/>
      <c r="B16" s="766"/>
      <c r="C16" s="766"/>
      <c r="D16" s="766"/>
      <c r="E16" s="766"/>
      <c r="F16" s="778"/>
      <c r="G16" s="778"/>
      <c r="H16" s="766"/>
      <c r="I16" s="766"/>
      <c r="J16" s="765"/>
      <c r="K16" s="765"/>
      <c r="L16" s="765"/>
      <c r="M16" s="4"/>
    </row>
    <row r="17" spans="1:13" x14ac:dyDescent="0.2">
      <c r="A17" s="779"/>
      <c r="B17" s="784" t="s">
        <v>392</v>
      </c>
      <c r="C17" s="785" t="s">
        <v>366</v>
      </c>
      <c r="D17" s="785" t="s">
        <v>367</v>
      </c>
      <c r="E17" s="785" t="s">
        <v>368</v>
      </c>
      <c r="F17" s="785" t="s">
        <v>369</v>
      </c>
      <c r="G17" s="785" t="s">
        <v>370</v>
      </c>
      <c r="H17" s="766"/>
      <c r="I17" s="765"/>
      <c r="J17" s="765"/>
      <c r="K17" s="765"/>
      <c r="L17" s="765"/>
      <c r="M17" s="4"/>
    </row>
    <row r="18" spans="1:13" x14ac:dyDescent="0.2">
      <c r="A18" s="779"/>
      <c r="B18" s="786" t="s">
        <v>351</v>
      </c>
      <c r="C18" s="787">
        <f>'C1_Kalkulation'!H14</f>
        <v>0</v>
      </c>
      <c r="D18" s="787">
        <f>'C1_Kalkulation'!I14</f>
        <v>0</v>
      </c>
      <c r="E18" s="787">
        <f>'C1_Kalkulation'!J14</f>
        <v>0</v>
      </c>
      <c r="F18" s="787">
        <f>'C1_Kalkulation'!K14</f>
        <v>0</v>
      </c>
      <c r="G18" s="787">
        <f>'C1_Kalkulation'!L14</f>
        <v>0</v>
      </c>
      <c r="H18" s="766"/>
      <c r="I18" s="765"/>
      <c r="J18" s="765"/>
      <c r="K18" s="765"/>
      <c r="L18" s="765"/>
      <c r="M18" s="4"/>
    </row>
    <row r="19" spans="1:13" x14ac:dyDescent="0.2">
      <c r="A19" s="788"/>
      <c r="B19" s="786" t="s">
        <v>393</v>
      </c>
      <c r="C19" s="789">
        <f>'C1_Kalkulation'!H17</f>
        <v>0</v>
      </c>
      <c r="D19" s="789">
        <f>'C1_Kalkulation'!I17</f>
        <v>0</v>
      </c>
      <c r="E19" s="789">
        <f>'C1_Kalkulation'!J17</f>
        <v>0</v>
      </c>
      <c r="F19" s="789">
        <f>'C1_Kalkulation'!K17</f>
        <v>0</v>
      </c>
      <c r="G19" s="789">
        <f>'C1_Kalkulation'!L17</f>
        <v>0</v>
      </c>
      <c r="H19" s="766"/>
      <c r="I19" s="765"/>
      <c r="J19" s="765"/>
      <c r="K19" s="765"/>
      <c r="L19" s="765"/>
      <c r="M19" s="4"/>
    </row>
    <row r="20" spans="1:13" ht="9.9499999999999993" customHeight="1" x14ac:dyDescent="0.2">
      <c r="A20" s="779"/>
      <c r="B20" s="766"/>
      <c r="C20" s="766"/>
      <c r="D20" s="766"/>
      <c r="E20" s="766"/>
      <c r="F20" s="766"/>
      <c r="G20" s="766"/>
      <c r="H20" s="766"/>
      <c r="I20" s="765"/>
      <c r="J20" s="765"/>
      <c r="K20" s="765"/>
      <c r="L20" s="765"/>
      <c r="M20" s="4"/>
    </row>
    <row r="21" spans="1:13" x14ac:dyDescent="0.2">
      <c r="A21" s="779"/>
      <c r="B21" s="1247" t="s">
        <v>382</v>
      </c>
      <c r="C21" s="1247"/>
      <c r="D21" s="1247"/>
      <c r="E21" s="1247"/>
      <c r="F21" s="1247"/>
      <c r="G21" s="1247"/>
      <c r="H21" s="1247"/>
      <c r="I21" s="765"/>
      <c r="J21" s="765"/>
      <c r="K21" s="765"/>
      <c r="L21" s="765"/>
      <c r="M21" s="4"/>
    </row>
    <row r="22" spans="1:13" ht="76.5" x14ac:dyDescent="0.2">
      <c r="A22" s="779"/>
      <c r="B22" s="784" t="s">
        <v>365</v>
      </c>
      <c r="C22" s="785" t="s">
        <v>366</v>
      </c>
      <c r="D22" s="790" t="s">
        <v>367</v>
      </c>
      <c r="E22" s="790" t="s">
        <v>368</v>
      </c>
      <c r="F22" s="790" t="s">
        <v>369</v>
      </c>
      <c r="G22" s="790" t="s">
        <v>370</v>
      </c>
      <c r="H22" s="785" t="s">
        <v>379</v>
      </c>
      <c r="I22" s="1042" t="s">
        <v>690</v>
      </c>
      <c r="J22" s="765"/>
      <c r="K22" s="765"/>
      <c r="L22" s="765"/>
      <c r="M22" s="4"/>
    </row>
    <row r="23" spans="1:13" x14ac:dyDescent="0.2">
      <c r="A23" s="779"/>
      <c r="B23" s="786" t="s">
        <v>351</v>
      </c>
      <c r="C23" s="791">
        <f>'C1_Kalkulation'!I20</f>
        <v>0</v>
      </c>
      <c r="D23" s="791">
        <f>'C1_Kalkulation'!I21</f>
        <v>0</v>
      </c>
      <c r="E23" s="791">
        <f>'C1_Kalkulation'!I22</f>
        <v>0</v>
      </c>
      <c r="F23" s="791">
        <f>'C1_Kalkulation'!I23</f>
        <v>0</v>
      </c>
      <c r="G23" s="791">
        <f>'C1_Kalkulation'!I24</f>
        <v>0</v>
      </c>
      <c r="H23" s="1044">
        <f>IF(KAT!A18=1,'C1_Kalkulation'!I26,'C1_Kalkulation'!I28)</f>
        <v>0</v>
      </c>
      <c r="I23" s="1045" t="str">
        <f>IF(KAT!B10=1,'C1_Kalkulation'!I28,"")</f>
        <v/>
      </c>
      <c r="J23" s="765"/>
      <c r="K23" s="765"/>
      <c r="L23" s="765"/>
      <c r="M23" s="4"/>
    </row>
    <row r="24" spans="1:13" x14ac:dyDescent="0.2">
      <c r="A24" s="788"/>
      <c r="B24" s="786" t="s">
        <v>335</v>
      </c>
      <c r="C24" s="854">
        <f>'C1_Kalkulation'!N20</f>
        <v>0</v>
      </c>
      <c r="D24" s="854">
        <f>'C1_Kalkulation'!N21</f>
        <v>0</v>
      </c>
      <c r="E24" s="854">
        <f>'C1_Kalkulation'!N22</f>
        <v>0</v>
      </c>
      <c r="F24" s="854">
        <f>'C1_Kalkulation'!N23</f>
        <v>0</v>
      </c>
      <c r="G24" s="854">
        <f>'C1_Kalkulation'!N24</f>
        <v>0</v>
      </c>
      <c r="H24" s="855">
        <f>'C1_Kalkulation'!N26</f>
        <v>0</v>
      </c>
      <c r="I24" s="765"/>
      <c r="J24" s="765"/>
      <c r="K24" s="765"/>
      <c r="L24" s="765"/>
      <c r="M24" s="4"/>
    </row>
    <row r="25" spans="1:13" ht="9.9499999999999993" customHeight="1" x14ac:dyDescent="0.2">
      <c r="A25" s="779"/>
      <c r="B25" s="766"/>
      <c r="C25" s="766"/>
      <c r="D25" s="766"/>
      <c r="E25" s="766"/>
      <c r="F25" s="766"/>
      <c r="G25" s="766"/>
      <c r="H25" s="766"/>
      <c r="I25" s="765"/>
      <c r="J25" s="765"/>
      <c r="K25" s="765"/>
      <c r="L25" s="765"/>
      <c r="M25" s="4"/>
    </row>
    <row r="26" spans="1:13" ht="36" customHeight="1" x14ac:dyDescent="0.2">
      <c r="A26" s="779"/>
      <c r="B26" s="792" t="s">
        <v>371</v>
      </c>
      <c r="C26" s="784" t="s">
        <v>139</v>
      </c>
      <c r="D26" s="793" t="s">
        <v>380</v>
      </c>
      <c r="E26" s="793" t="s">
        <v>62</v>
      </c>
      <c r="F26" s="784" t="s">
        <v>32</v>
      </c>
      <c r="G26" s="784" t="s">
        <v>33</v>
      </c>
      <c r="H26" s="793" t="s">
        <v>381</v>
      </c>
      <c r="I26" s="793" t="s">
        <v>384</v>
      </c>
      <c r="J26" s="765"/>
      <c r="K26" s="765"/>
      <c r="L26" s="765"/>
      <c r="M26" s="4"/>
    </row>
    <row r="27" spans="1:13" x14ac:dyDescent="0.2">
      <c r="A27" s="779"/>
      <c r="B27" s="786" t="s">
        <v>351</v>
      </c>
      <c r="C27" s="791">
        <f>'C1_Kalkulation'!I27</f>
        <v>0</v>
      </c>
      <c r="D27" s="791">
        <f>'C1_Kalkulation'!I29</f>
        <v>0</v>
      </c>
      <c r="E27" s="791">
        <f>'C1_Kalkulation'!I30</f>
        <v>0</v>
      </c>
      <c r="F27" s="791">
        <f>'C1_Kalkulation'!I31</f>
        <v>0</v>
      </c>
      <c r="G27" s="791">
        <f>'C1_Kalkulation'!I32</f>
        <v>0</v>
      </c>
      <c r="H27" s="791">
        <v>20</v>
      </c>
      <c r="I27" s="794">
        <f>'C1_Kalkulation'!J33</f>
        <v>0</v>
      </c>
      <c r="J27" s="765"/>
      <c r="K27" s="765"/>
      <c r="L27" s="765"/>
      <c r="M27" s="4"/>
    </row>
    <row r="28" spans="1:13" x14ac:dyDescent="0.2">
      <c r="A28" s="788"/>
      <c r="B28" s="786" t="s">
        <v>335</v>
      </c>
      <c r="C28" s="791">
        <f>'C1_Kalkulation'!N27</f>
        <v>0</v>
      </c>
      <c r="D28" s="791">
        <f>'C1_Kalkulation'!N29</f>
        <v>0</v>
      </c>
      <c r="E28" s="791">
        <f>'C1_Kalkulation'!N30</f>
        <v>0</v>
      </c>
      <c r="F28" s="791">
        <f>'C1_Kalkulation'!N31</f>
        <v>0</v>
      </c>
      <c r="G28" s="791">
        <f>'C1_Kalkulation'!N32</f>
        <v>0</v>
      </c>
      <c r="H28" s="791">
        <v>20</v>
      </c>
      <c r="I28" s="795"/>
      <c r="J28" s="765"/>
      <c r="K28" s="765"/>
      <c r="L28" s="765"/>
      <c r="M28" s="4"/>
    </row>
    <row r="29" spans="1:13" ht="9.9499999999999993" customHeight="1" x14ac:dyDescent="0.2">
      <c r="A29" s="779"/>
      <c r="B29" s="766"/>
      <c r="C29" s="796"/>
      <c r="D29" s="796"/>
      <c r="E29" s="796"/>
      <c r="F29" s="796"/>
      <c r="G29" s="796"/>
      <c r="H29" s="796"/>
      <c r="I29" s="765"/>
      <c r="J29" s="765"/>
      <c r="K29" s="765"/>
      <c r="L29" s="765"/>
      <c r="M29" s="4"/>
    </row>
    <row r="30" spans="1:13" x14ac:dyDescent="0.2">
      <c r="A30" s="779"/>
      <c r="B30" s="797" t="s">
        <v>383</v>
      </c>
      <c r="C30" s="797"/>
      <c r="D30" s="797"/>
      <c r="E30" s="797"/>
      <c r="F30" s="797"/>
      <c r="G30" s="797"/>
      <c r="H30" s="797"/>
      <c r="I30" s="797"/>
      <c r="J30" s="765"/>
      <c r="K30" s="765"/>
      <c r="L30" s="765"/>
      <c r="M30" s="4"/>
    </row>
    <row r="31" spans="1:13" ht="38.25" x14ac:dyDescent="0.2">
      <c r="A31" s="779"/>
      <c r="B31" s="798" t="s">
        <v>372</v>
      </c>
      <c r="C31" s="798" t="s">
        <v>139</v>
      </c>
      <c r="D31" s="793" t="s">
        <v>380</v>
      </c>
      <c r="E31" s="793" t="s">
        <v>62</v>
      </c>
      <c r="F31" s="784" t="s">
        <v>32</v>
      </c>
      <c r="G31" s="784" t="s">
        <v>33</v>
      </c>
      <c r="H31" s="799" t="s">
        <v>381</v>
      </c>
      <c r="I31" s="793" t="s">
        <v>384</v>
      </c>
      <c r="J31" s="765"/>
      <c r="K31" s="765"/>
      <c r="L31" s="765"/>
      <c r="M31" s="4"/>
    </row>
    <row r="32" spans="1:13" x14ac:dyDescent="0.2">
      <c r="A32" s="779"/>
      <c r="B32" s="800">
        <f>'C1_Kalkulation'!L26</f>
        <v>0</v>
      </c>
      <c r="C32" s="800">
        <f>'C1_Kalkulation'!L27</f>
        <v>0</v>
      </c>
      <c r="D32" s="800">
        <f>'C1_Kalkulation'!L29</f>
        <v>0</v>
      </c>
      <c r="E32" s="800">
        <f>'C1_Kalkulation'!L30</f>
        <v>0</v>
      </c>
      <c r="F32" s="800">
        <f>'C1_Kalkulation'!L31</f>
        <v>0</v>
      </c>
      <c r="G32" s="800">
        <f>'C1_Kalkulation'!L32</f>
        <v>0</v>
      </c>
      <c r="H32" s="800">
        <f>'C1_Kalkulation'!L34</f>
        <v>0</v>
      </c>
      <c r="I32" s="801">
        <f>'C1_Kalkulation'!L33</f>
        <v>0</v>
      </c>
      <c r="J32" s="765"/>
      <c r="K32" s="765"/>
      <c r="L32" s="765"/>
      <c r="M32" s="4"/>
    </row>
    <row r="33" spans="1:13" ht="9.9499999999999993" customHeight="1" x14ac:dyDescent="0.2">
      <c r="A33" s="764"/>
      <c r="B33" s="765"/>
      <c r="C33" s="765"/>
      <c r="D33" s="765"/>
      <c r="E33" s="765"/>
      <c r="F33" s="765"/>
      <c r="G33" s="765"/>
      <c r="H33" s="765"/>
      <c r="I33" s="765"/>
      <c r="J33" s="765"/>
      <c r="K33" s="765"/>
      <c r="L33" s="802"/>
      <c r="M33" s="4"/>
    </row>
    <row r="34" spans="1:13" x14ac:dyDescent="0.2">
      <c r="A34" s="764"/>
      <c r="B34" s="1244" t="s">
        <v>387</v>
      </c>
      <c r="C34" s="1244"/>
      <c r="D34" s="1244"/>
      <c r="E34" s="1244"/>
      <c r="F34" s="1244"/>
      <c r="G34" s="1244"/>
      <c r="H34" s="803"/>
      <c r="I34" s="1248" t="s">
        <v>391</v>
      </c>
      <c r="J34" s="1249"/>
      <c r="K34" s="1250"/>
      <c r="L34" s="803"/>
      <c r="M34" s="4"/>
    </row>
    <row r="35" spans="1:13" x14ac:dyDescent="0.2">
      <c r="A35" s="764"/>
      <c r="B35" s="798" t="s">
        <v>365</v>
      </c>
      <c r="C35" s="804" t="s">
        <v>366</v>
      </c>
      <c r="D35" s="804" t="s">
        <v>367</v>
      </c>
      <c r="E35" s="804" t="s">
        <v>368</v>
      </c>
      <c r="F35" s="804" t="s">
        <v>369</v>
      </c>
      <c r="G35" s="804" t="s">
        <v>370</v>
      </c>
      <c r="H35" s="798" t="s">
        <v>390</v>
      </c>
      <c r="I35" s="798" t="s">
        <v>299</v>
      </c>
      <c r="J35" s="798" t="s">
        <v>389</v>
      </c>
      <c r="K35" s="798" t="str">
        <f>'C1_Kalkulation'!K60</f>
        <v>43 b SGB XI</v>
      </c>
      <c r="L35" s="798" t="s">
        <v>453</v>
      </c>
      <c r="M35" s="4"/>
    </row>
    <row r="36" spans="1:13" x14ac:dyDescent="0.2">
      <c r="A36" s="764"/>
      <c r="B36" s="786" t="s">
        <v>388</v>
      </c>
      <c r="C36" s="805">
        <f>'C1_Kalkulation'!B61</f>
        <v>0</v>
      </c>
      <c r="D36" s="805">
        <f>IFERROR('C1_Kalkulation'!C61,"")</f>
        <v>0</v>
      </c>
      <c r="E36" s="805">
        <f>IFERROR('C1_Kalkulation'!D61,"")</f>
        <v>0</v>
      </c>
      <c r="F36" s="805">
        <f>IFERROR('C1_Kalkulation'!E61,"")</f>
        <v>0</v>
      </c>
      <c r="G36" s="805">
        <f>IFERROR('C1_Kalkulation'!F61,"")</f>
        <v>0</v>
      </c>
      <c r="H36" s="805" t="str">
        <f>IFERROR('C1_Kalkulation'!H61,"")</f>
        <v/>
      </c>
      <c r="I36" s="805">
        <f>IFERROR('C1_Kalkulation'!I61,"")</f>
        <v>0</v>
      </c>
      <c r="J36" s="805">
        <f>'C1_Kalkulation'!J61</f>
        <v>0</v>
      </c>
      <c r="K36" s="805">
        <f>'C1_Kalkulation'!K61</f>
        <v>0</v>
      </c>
      <c r="L36" s="805">
        <f>'C1_Kalkulation'!L61</f>
        <v>0</v>
      </c>
      <c r="M36" s="4"/>
    </row>
    <row r="37" spans="1:13" x14ac:dyDescent="0.2">
      <c r="A37" s="806"/>
      <c r="B37" s="807" t="s">
        <v>335</v>
      </c>
      <c r="C37" s="808">
        <f>'C1_Kalkulation'!B65</f>
        <v>0</v>
      </c>
      <c r="D37" s="808" t="str">
        <f>'C1_Kalkulation'!C65</f>
        <v/>
      </c>
      <c r="E37" s="808" t="str">
        <f>'C1_Kalkulation'!D65</f>
        <v/>
      </c>
      <c r="F37" s="808" t="str">
        <f>'C1_Kalkulation'!E65</f>
        <v/>
      </c>
      <c r="G37" s="808" t="str">
        <f>'C1_Kalkulation'!F65</f>
        <v/>
      </c>
      <c r="H37" s="809"/>
      <c r="I37" s="808" t="str">
        <f>'C1_Kalkulation'!I65</f>
        <v/>
      </c>
      <c r="J37" s="808" t="str">
        <f>'C1_Kalkulation'!J65</f>
        <v/>
      </c>
      <c r="K37" s="805" t="str">
        <f>'C1_Kalkulation'!K65</f>
        <v/>
      </c>
      <c r="L37" s="810"/>
      <c r="M37" s="4"/>
    </row>
    <row r="38" spans="1:13" ht="14.25" customHeight="1" x14ac:dyDescent="0.2">
      <c r="A38" s="764"/>
      <c r="B38" s="765"/>
      <c r="C38" s="765"/>
      <c r="D38" s="765"/>
      <c r="E38" s="765"/>
      <c r="F38" s="765"/>
      <c r="G38" s="765"/>
      <c r="H38" s="765"/>
      <c r="I38" s="765"/>
      <c r="J38" s="765"/>
      <c r="K38" s="765"/>
      <c r="L38" s="765"/>
      <c r="M38" s="4"/>
    </row>
    <row r="39" spans="1:13" ht="14.25" customHeight="1" x14ac:dyDescent="0.2">
      <c r="A39" s="764"/>
      <c r="B39" s="1242" t="s">
        <v>583</v>
      </c>
      <c r="C39" s="1243"/>
      <c r="D39" s="1243"/>
      <c r="E39" s="1243"/>
      <c r="F39" s="1243"/>
      <c r="G39" s="1243"/>
      <c r="H39" s="1243"/>
      <c r="I39" s="1243"/>
      <c r="J39" s="1243"/>
      <c r="K39" s="1243"/>
      <c r="L39" s="811"/>
      <c r="M39" s="4"/>
    </row>
    <row r="40" spans="1:13" x14ac:dyDescent="0.2">
      <c r="A40" s="764"/>
      <c r="B40" s="1243"/>
      <c r="C40" s="1243"/>
      <c r="D40" s="1243"/>
      <c r="E40" s="1243"/>
      <c r="F40" s="1243"/>
      <c r="G40" s="1243"/>
      <c r="H40" s="1243"/>
      <c r="I40" s="1243"/>
      <c r="J40" s="1243"/>
      <c r="K40" s="1243"/>
      <c r="L40" s="811"/>
      <c r="M40" s="4"/>
    </row>
    <row r="41" spans="1:13" x14ac:dyDescent="0.2">
      <c r="A41" s="764"/>
      <c r="B41" s="812"/>
      <c r="C41" s="812"/>
      <c r="D41" s="812"/>
      <c r="E41" s="812"/>
      <c r="F41" s="812"/>
      <c r="G41" s="812"/>
      <c r="H41" s="812"/>
      <c r="I41" s="812"/>
      <c r="J41" s="812"/>
      <c r="K41" s="812"/>
      <c r="L41" s="812"/>
      <c r="M41" s="4"/>
    </row>
    <row r="42" spans="1:13" ht="15" x14ac:dyDescent="0.25">
      <c r="A42" s="764"/>
      <c r="B42" s="813" t="s">
        <v>385</v>
      </c>
      <c r="C42" s="765"/>
      <c r="D42" s="765"/>
      <c r="E42" s="765"/>
      <c r="F42" s="765"/>
      <c r="G42" s="765"/>
      <c r="H42" s="765"/>
      <c r="I42" s="765"/>
      <c r="J42" s="765"/>
      <c r="K42" s="765"/>
      <c r="L42" s="765"/>
      <c r="M42" s="4"/>
    </row>
    <row r="43" spans="1:13" x14ac:dyDescent="0.2">
      <c r="A43" s="764"/>
      <c r="B43" s="765"/>
      <c r="C43" s="765"/>
      <c r="D43" s="765"/>
      <c r="E43" s="765"/>
      <c r="F43" s="765"/>
      <c r="G43" s="765"/>
      <c r="H43" s="765"/>
      <c r="I43" s="765"/>
      <c r="J43" s="765"/>
      <c r="K43" s="765"/>
      <c r="L43" s="765"/>
      <c r="M43" s="4"/>
    </row>
    <row r="44" spans="1:13" x14ac:dyDescent="0.2">
      <c r="A44" s="764"/>
      <c r="B44" s="814"/>
      <c r="C44" s="814"/>
      <c r="D44" s="765"/>
      <c r="E44" s="765"/>
      <c r="F44" s="765"/>
      <c r="G44" s="765"/>
      <c r="H44" s="815"/>
      <c r="I44" s="814"/>
      <c r="J44" s="814"/>
      <c r="K44" s="814"/>
      <c r="L44" s="765"/>
      <c r="M44" s="4"/>
    </row>
    <row r="45" spans="1:13" x14ac:dyDescent="0.2">
      <c r="A45" s="764"/>
      <c r="B45" s="816" t="s">
        <v>386</v>
      </c>
      <c r="C45" s="765"/>
      <c r="D45" s="765"/>
      <c r="E45" s="765"/>
      <c r="F45" s="765"/>
      <c r="G45" s="765"/>
      <c r="H45" s="816" t="s">
        <v>473</v>
      </c>
      <c r="I45" s="765"/>
      <c r="J45" s="765"/>
      <c r="K45" s="765"/>
      <c r="L45" s="765"/>
      <c r="M45" s="4"/>
    </row>
    <row r="46" spans="1:13" ht="15" x14ac:dyDescent="0.25">
      <c r="A46" s="2"/>
      <c r="B46" s="813"/>
      <c r="C46" s="765"/>
      <c r="D46" s="765"/>
      <c r="E46" s="765"/>
      <c r="F46" s="765"/>
      <c r="G46" s="765"/>
      <c r="H46" s="765"/>
      <c r="I46" s="765"/>
      <c r="J46" s="765"/>
      <c r="K46" s="765"/>
      <c r="L46" s="765"/>
      <c r="M46" s="4"/>
    </row>
    <row r="47" spans="1:13" ht="15" x14ac:dyDescent="0.25">
      <c r="A47" s="35"/>
      <c r="B47" s="817"/>
      <c r="C47" s="814"/>
      <c r="D47" s="814"/>
      <c r="E47" s="814"/>
      <c r="F47" s="814"/>
      <c r="G47" s="814"/>
      <c r="H47" s="814"/>
      <c r="I47" s="814"/>
      <c r="J47" s="814"/>
      <c r="K47" s="814"/>
      <c r="L47" s="814"/>
      <c r="M47" s="594"/>
    </row>
  </sheetData>
  <sheetProtection algorithmName="SHA-512" hashValue="Ek/XHpwi9ByWMZjHuFubG2YcCdQWL6Gv5h/k7ea9w+7gxxiPc7FNVkaja1AV/S8X8jUKNBHElueAc/Gr0TdJiQ==" saltValue="crqbbIsozVyAqiR2b7E3Dg==" spinCount="100000" sheet="1" objects="1" scenarios="1"/>
  <mergeCells count="15">
    <mergeCell ref="B13:D13"/>
    <mergeCell ref="C9:D9"/>
    <mergeCell ref="B39:K40"/>
    <mergeCell ref="B34:G34"/>
    <mergeCell ref="B15:D15"/>
    <mergeCell ref="B21:H21"/>
    <mergeCell ref="I34:K34"/>
    <mergeCell ref="A1:M3"/>
    <mergeCell ref="B5:D5"/>
    <mergeCell ref="B10:D10"/>
    <mergeCell ref="B11:D11"/>
    <mergeCell ref="B12:D12"/>
    <mergeCell ref="B6:D6"/>
    <mergeCell ref="B7:D7"/>
    <mergeCell ref="B8:D8"/>
  </mergeCells>
  <pageMargins left="0.70866141732283472" right="0.70866141732283472" top="0.78740157480314965" bottom="0.78740157480314965" header="0.31496062992125984" footer="0.31496062992125984"/>
  <pageSetup paperSize="9" scale="64" orientation="landscape"/>
  <headerFooter>
    <oddFooter>&amp;LVersion: 21.11.2024&amp;CVerhandlungsunterlagen SGB XI (vereinfacht C1)&amp;RPSK-Beschluss vom 07.11.2024</oddFooter>
  </headerFooter>
  <extLst>
    <ext xmlns:x14="http://schemas.microsoft.com/office/spreadsheetml/2009/9/main" uri="{78C0D931-6437-407d-A8EE-F0AAD7539E65}">
      <x14:conditionalFormattings>
        <x14:conditionalFormatting xmlns:xm="http://schemas.microsoft.com/office/excel/2006/main">
          <x14:cfRule type="expression" priority="1" id="{76CADF4B-8D9A-4B18-9579-3827FCC8728C}">
            <xm:f>KAT!$A$113="nein"</xm:f>
            <x14:dxf>
              <fill>
                <patternFill>
                  <bgColor theme="0"/>
                </patternFill>
              </fill>
            </x14:dxf>
          </x14:cfRule>
          <xm:sqref>A19 A24 A28 L33 A37</xm:sqref>
        </x14:conditionalFormatting>
        <x14:conditionalFormatting xmlns:xm="http://schemas.microsoft.com/office/excel/2006/main">
          <x14:cfRule type="expression" priority="15" id="{5B0EFFE9-FF8C-49A5-91D4-382E55EFB0AB}">
            <xm:f>'C1_Allgemeine Angaben'!$L$46=0</xm:f>
            <x14:dxf>
              <font>
                <color theme="0"/>
              </font>
              <border>
                <left/>
                <right/>
                <top style="thin">
                  <color auto="1"/>
                </top>
                <bottom/>
                <vertical/>
                <horizontal/>
              </border>
            </x14:dxf>
          </x14:cfRule>
          <xm:sqref>B19:G19</xm:sqref>
        </x14:conditionalFormatting>
        <x14:conditionalFormatting xmlns:xm="http://schemas.microsoft.com/office/excel/2006/main">
          <x14:cfRule type="expression" priority="14" id="{4B022505-0FAD-4488-9A67-EA77AB28B072}">
            <xm:f>'C1_Allgemeine Angaben'!$L$46=0</xm:f>
            <x14:dxf>
              <font>
                <color theme="0"/>
              </font>
              <border>
                <left/>
                <right/>
                <top style="thin">
                  <color auto="1"/>
                </top>
                <bottom/>
                <vertical/>
                <horizontal/>
              </border>
            </x14:dxf>
          </x14:cfRule>
          <xm:sqref>B24:H24</xm:sqref>
        </x14:conditionalFormatting>
        <x14:conditionalFormatting xmlns:xm="http://schemas.microsoft.com/office/excel/2006/main">
          <x14:cfRule type="expression" priority="9" id="{BFB2D2EA-3744-4A7B-A2D0-B1291C50C4E1}">
            <xm:f>'C1_Allgemeine Angaben'!$L$46=0</xm:f>
            <x14:dxf>
              <font>
                <color theme="0"/>
              </font>
              <fill>
                <patternFill>
                  <bgColor theme="0"/>
                </patternFill>
              </fill>
              <border>
                <left/>
                <right/>
                <top style="thin">
                  <color auto="1"/>
                </top>
                <bottom/>
                <vertical/>
                <horizontal/>
              </border>
            </x14:dxf>
          </x14:cfRule>
          <xm:sqref>B28:H28</xm:sqref>
        </x14:conditionalFormatting>
        <x14:conditionalFormatting xmlns:xm="http://schemas.microsoft.com/office/excel/2006/main">
          <x14:cfRule type="expression" priority="11" id="{2855761D-A9D2-4C8A-9B7C-6E0B69E1CDAC}">
            <xm:f>'C1_Allgemeine Angaben'!$L$46=0</xm:f>
            <x14:dxf>
              <font>
                <color theme="0"/>
              </font>
              <border>
                <left/>
                <right/>
                <top style="thin">
                  <color auto="1"/>
                </top>
                <bottom/>
                <vertical/>
                <horizontal/>
              </border>
            </x14:dxf>
          </x14:cfRule>
          <xm:sqref>B37:K37</xm:sqref>
        </x14:conditionalFormatting>
        <x14:conditionalFormatting xmlns:xm="http://schemas.microsoft.com/office/excel/2006/main">
          <x14:cfRule type="expression" priority="5" id="{910A4D8F-0794-4237-BF79-5F42FE043D21}">
            <xm:f>'C1_Berechnung'!$P$10=1</xm:f>
            <x14:dxf>
              <font>
                <color theme="0" tint="-4.9989318521683403E-2"/>
              </font>
              <fill>
                <patternFill>
                  <bgColor theme="0" tint="-0.14996795556505021"/>
                </patternFill>
              </fill>
            </x14:dxf>
          </x14:cfRule>
          <xm:sqref>B39:K40</xm:sqref>
        </x14:conditionalFormatting>
        <x14:conditionalFormatting xmlns:xm="http://schemas.microsoft.com/office/excel/2006/main">
          <x14:cfRule type="expression" priority="8" id="{3477268C-4DFF-4275-943B-268DF84D6E37}">
            <xm:f>'C1_Allgemeine Angaben'!$L$46=0</xm:f>
            <x14:dxf>
              <font>
                <color theme="0"/>
              </font>
              <fill>
                <patternFill>
                  <bgColor theme="0"/>
                </patternFill>
              </fill>
              <border>
                <left/>
                <right/>
                <top/>
                <bottom/>
                <vertical/>
                <horizontal/>
              </border>
            </x14:dxf>
          </x14:cfRule>
          <xm:sqref>F9:I9</xm:sqref>
        </x14:conditionalFormatting>
        <x14:conditionalFormatting xmlns:xm="http://schemas.microsoft.com/office/excel/2006/main">
          <x14:cfRule type="expression" priority="4" id="{40744DDC-B55C-432F-A83D-AEC96F68524C}">
            <xm:f>KAT!$B$10=1</xm:f>
            <x14:dxf>
              <font>
                <color theme="0" tint="-0.14996795556505021"/>
              </font>
              <fill>
                <patternFill>
                  <bgColor theme="0" tint="-0.14996795556505021"/>
                </patternFill>
              </fill>
            </x14:dxf>
          </x14:cfRule>
          <xm:sqref>H23</xm:sqref>
        </x14:conditionalFormatting>
        <x14:conditionalFormatting xmlns:xm="http://schemas.microsoft.com/office/excel/2006/main">
          <x14:cfRule type="expression" priority="7" id="{7C1CBA67-C93F-4FD8-93D2-FA22D217165D}">
            <xm:f>'C1_Allgemeine Angaben'!$D$7="tst"</xm:f>
            <x14:dxf>
              <fill>
                <patternFill>
                  <bgColor theme="0" tint="-0.14996795556505021"/>
                </patternFill>
              </fill>
            </x14:dxf>
          </x14:cfRule>
          <xm:sqref>H36</xm:sqref>
        </x14:conditionalFormatting>
        <x14:conditionalFormatting xmlns:xm="http://schemas.microsoft.com/office/excel/2006/main">
          <x14:cfRule type="expression" priority="2" id="{25B42A5B-CFFB-4120-A165-122B4CB3A9A1}">
            <xm:f>KAT!$B$10=0</xm:f>
            <x14:dxf>
              <font>
                <color theme="0"/>
              </font>
              <fill>
                <patternFill>
                  <bgColor theme="0"/>
                </patternFill>
              </fill>
              <border>
                <right/>
                <top/>
                <bottom/>
                <vertical/>
                <horizontal/>
              </border>
            </x14:dxf>
          </x14:cfRule>
          <xm:sqref>I22:I23</xm:sqref>
        </x14:conditionalFormatting>
        <x14:conditionalFormatting xmlns:xm="http://schemas.microsoft.com/office/excel/2006/main">
          <x14:cfRule type="expression" priority="6" id="{B59D2051-B28F-4C64-922A-0DFA7159B45B}">
            <xm:f>'C1_Allgemeine Angaben'!$D$7&lt;&gt;"tst"</xm:f>
            <x14:dxf>
              <font>
                <color theme="0"/>
              </font>
              <fill>
                <patternFill patternType="none">
                  <bgColor auto="1"/>
                </patternFill>
              </fill>
              <border>
                <right/>
                <top/>
                <bottom/>
                <vertical/>
                <horizontal/>
              </border>
            </x14:dxf>
          </x14:cfRule>
          <xm:sqref>L34:L36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36"/>
  <sheetViews>
    <sheetView showGridLines="0" workbookViewId="0">
      <pane ySplit="5" topLeftCell="A112" activePane="bottomLeft" state="frozen"/>
      <selection pane="bottomLeft" activeCell="D126" sqref="D126"/>
    </sheetView>
  </sheetViews>
  <sheetFormatPr baseColWidth="10" defaultRowHeight="14.25" x14ac:dyDescent="0.2"/>
  <cols>
    <col min="1" max="1" width="10.625" customWidth="1"/>
    <col min="2" max="2" width="28.125" customWidth="1"/>
    <col min="3" max="3" width="30" customWidth="1"/>
    <col min="4" max="4" width="35.75" customWidth="1"/>
    <col min="5" max="5" width="29.75" customWidth="1"/>
  </cols>
  <sheetData>
    <row r="1" spans="1:5" x14ac:dyDescent="0.2">
      <c r="A1" s="856"/>
      <c r="B1" s="856"/>
      <c r="C1" s="856"/>
      <c r="D1" s="856"/>
      <c r="E1" s="856"/>
    </row>
    <row r="2" spans="1:5" ht="23.25" customHeight="1" x14ac:dyDescent="0.2">
      <c r="A2" s="1257" t="s">
        <v>462</v>
      </c>
      <c r="B2" s="1258"/>
      <c r="C2" s="1258"/>
      <c r="D2" s="1258"/>
      <c r="E2" s="1258"/>
    </row>
    <row r="3" spans="1:5" x14ac:dyDescent="0.2">
      <c r="A3" s="856"/>
      <c r="B3" s="856"/>
      <c r="C3" s="856"/>
      <c r="D3" s="856"/>
      <c r="E3" s="856"/>
    </row>
    <row r="5" spans="1:5" ht="25.5" x14ac:dyDescent="0.2">
      <c r="A5" s="857" t="s">
        <v>457</v>
      </c>
      <c r="B5" s="857" t="s">
        <v>458</v>
      </c>
      <c r="C5" s="857" t="s">
        <v>459</v>
      </c>
      <c r="D5" s="857" t="s">
        <v>460</v>
      </c>
      <c r="E5" s="857" t="s">
        <v>461</v>
      </c>
    </row>
    <row r="6" spans="1:5" s="860" customFormat="1" ht="51" x14ac:dyDescent="0.2">
      <c r="A6" s="858">
        <v>44790</v>
      </c>
      <c r="B6" s="1064" t="s">
        <v>463</v>
      </c>
      <c r="C6" s="864" t="s">
        <v>471</v>
      </c>
      <c r="D6" s="859" t="s">
        <v>469</v>
      </c>
      <c r="E6" s="1259" t="s">
        <v>472</v>
      </c>
    </row>
    <row r="7" spans="1:5" s="860" customFormat="1" ht="25.5" x14ac:dyDescent="0.2">
      <c r="A7" s="861"/>
      <c r="B7" s="1063"/>
      <c r="C7" s="862" t="s">
        <v>464</v>
      </c>
      <c r="D7" s="862" t="s">
        <v>465</v>
      </c>
      <c r="E7" s="1260"/>
    </row>
    <row r="8" spans="1:5" s="860" customFormat="1" ht="38.25" x14ac:dyDescent="0.2">
      <c r="A8" s="858">
        <v>44790</v>
      </c>
      <c r="B8" s="1064" t="s">
        <v>463</v>
      </c>
      <c r="C8" s="859" t="s">
        <v>466</v>
      </c>
      <c r="D8" s="859" t="s">
        <v>470</v>
      </c>
      <c r="E8" s="1260"/>
    </row>
    <row r="9" spans="1:5" s="860" customFormat="1" ht="25.5" x14ac:dyDescent="0.2">
      <c r="A9" s="861"/>
      <c r="B9" s="1063"/>
      <c r="C9" s="862" t="s">
        <v>467</v>
      </c>
      <c r="D9" s="862" t="s">
        <v>468</v>
      </c>
      <c r="E9" s="1261"/>
    </row>
    <row r="10" spans="1:5" s="860" customFormat="1" ht="51" x14ac:dyDescent="0.2">
      <c r="A10" s="957">
        <v>44900</v>
      </c>
      <c r="B10" s="1065" t="s">
        <v>463</v>
      </c>
      <c r="C10" s="867" t="s">
        <v>475</v>
      </c>
      <c r="D10" s="867" t="s">
        <v>497</v>
      </c>
      <c r="E10" s="863"/>
    </row>
    <row r="11" spans="1:5" s="860" customFormat="1" ht="76.5" x14ac:dyDescent="0.2">
      <c r="A11" s="957">
        <v>44900</v>
      </c>
      <c r="B11" s="1065" t="s">
        <v>476</v>
      </c>
      <c r="C11" s="867" t="s">
        <v>477</v>
      </c>
      <c r="D11" s="867" t="s">
        <v>478</v>
      </c>
      <c r="E11" s="867" t="s">
        <v>479</v>
      </c>
    </row>
    <row r="12" spans="1:5" s="860" customFormat="1" ht="25.5" x14ac:dyDescent="0.2">
      <c r="A12" s="957">
        <v>44900</v>
      </c>
      <c r="B12" s="1065" t="s">
        <v>480</v>
      </c>
      <c r="C12" s="867" t="s">
        <v>481</v>
      </c>
      <c r="D12" s="867" t="s">
        <v>482</v>
      </c>
      <c r="E12" s="867"/>
    </row>
    <row r="13" spans="1:5" s="860" customFormat="1" ht="25.5" x14ac:dyDescent="0.2">
      <c r="A13" s="957">
        <v>44900</v>
      </c>
      <c r="B13" s="1065" t="s">
        <v>486</v>
      </c>
      <c r="C13" s="863" t="s">
        <v>483</v>
      </c>
      <c r="D13" s="863" t="s">
        <v>484</v>
      </c>
      <c r="E13" s="863" t="s">
        <v>485</v>
      </c>
    </row>
    <row r="14" spans="1:5" s="860" customFormat="1" ht="25.5" x14ac:dyDescent="0.2">
      <c r="A14" s="957">
        <v>44900</v>
      </c>
      <c r="B14" s="1065" t="s">
        <v>489</v>
      </c>
      <c r="C14" s="867" t="s">
        <v>490</v>
      </c>
      <c r="D14" s="867" t="s">
        <v>491</v>
      </c>
      <c r="E14" s="867" t="s">
        <v>492</v>
      </c>
    </row>
    <row r="15" spans="1:5" s="860" customFormat="1" ht="102" x14ac:dyDescent="0.2">
      <c r="A15" s="957">
        <v>44900</v>
      </c>
      <c r="B15" s="1065" t="s">
        <v>493</v>
      </c>
      <c r="C15" s="867" t="s">
        <v>494</v>
      </c>
      <c r="D15" s="867" t="s">
        <v>495</v>
      </c>
      <c r="E15" s="863"/>
    </row>
    <row r="16" spans="1:5" s="860" customFormat="1" ht="76.5" x14ac:dyDescent="0.2">
      <c r="A16" s="958">
        <v>44901</v>
      </c>
      <c r="B16" s="1066" t="s">
        <v>499</v>
      </c>
      <c r="C16" s="869" t="s">
        <v>498</v>
      </c>
      <c r="D16" s="871" t="s">
        <v>500</v>
      </c>
      <c r="E16" s="863"/>
    </row>
    <row r="17" spans="1:5" s="860" customFormat="1" ht="25.5" x14ac:dyDescent="0.2">
      <c r="A17" s="959">
        <v>44903</v>
      </c>
      <c r="B17" s="1067" t="s">
        <v>493</v>
      </c>
      <c r="C17" s="873" t="s">
        <v>494</v>
      </c>
      <c r="D17" s="878" t="s">
        <v>501</v>
      </c>
      <c r="E17" s="874"/>
    </row>
    <row r="18" spans="1:5" s="860" customFormat="1" ht="25.5" x14ac:dyDescent="0.2">
      <c r="A18" s="960"/>
      <c r="B18" s="1068" t="s">
        <v>463</v>
      </c>
      <c r="C18" s="883" t="s">
        <v>505</v>
      </c>
      <c r="D18" s="884" t="s">
        <v>506</v>
      </c>
      <c r="E18" s="879"/>
    </row>
    <row r="19" spans="1:5" s="860" customFormat="1" ht="12.75" x14ac:dyDescent="0.2">
      <c r="A19" s="961"/>
      <c r="B19" s="1068" t="s">
        <v>463</v>
      </c>
      <c r="C19" s="875" t="s">
        <v>503</v>
      </c>
      <c r="D19" s="875" t="s">
        <v>504</v>
      </c>
      <c r="E19" s="876"/>
    </row>
    <row r="20" spans="1:5" s="860" customFormat="1" ht="25.5" x14ac:dyDescent="0.2">
      <c r="A20" s="962"/>
      <c r="B20" s="1075" t="s">
        <v>496</v>
      </c>
      <c r="C20" s="877"/>
      <c r="D20" s="862" t="s">
        <v>502</v>
      </c>
      <c r="E20" s="877"/>
    </row>
    <row r="21" spans="1:5" ht="25.5" x14ac:dyDescent="0.2">
      <c r="A21" s="963">
        <v>44910</v>
      </c>
      <c r="B21" s="1069" t="s">
        <v>486</v>
      </c>
      <c r="C21" s="885" t="s">
        <v>507</v>
      </c>
      <c r="D21" s="885" t="s">
        <v>508</v>
      </c>
      <c r="E21" s="177"/>
    </row>
    <row r="22" spans="1:5" x14ac:dyDescent="0.2">
      <c r="A22" s="964"/>
      <c r="B22" s="1070"/>
      <c r="C22" s="886" t="s">
        <v>509</v>
      </c>
      <c r="D22" s="886" t="s">
        <v>510</v>
      </c>
      <c r="E22" s="886"/>
    </row>
    <row r="23" spans="1:5" s="890" customFormat="1" ht="12.75" x14ac:dyDescent="0.2">
      <c r="A23" s="965">
        <v>44901</v>
      </c>
      <c r="B23" s="1071" t="s">
        <v>463</v>
      </c>
      <c r="C23" s="889" t="s">
        <v>511</v>
      </c>
      <c r="D23" s="889" t="s">
        <v>512</v>
      </c>
      <c r="E23" s="889"/>
    </row>
    <row r="24" spans="1:5" x14ac:dyDescent="0.2">
      <c r="A24" s="1262" t="s">
        <v>558</v>
      </c>
      <c r="B24" s="1072" t="s">
        <v>493</v>
      </c>
      <c r="C24" s="936" t="s">
        <v>522</v>
      </c>
      <c r="D24" s="936" t="s">
        <v>521</v>
      </c>
      <c r="E24" s="941"/>
    </row>
    <row r="25" spans="1:5" x14ac:dyDescent="0.2">
      <c r="A25" s="1263"/>
      <c r="B25" s="1076"/>
      <c r="C25" s="938" t="s">
        <v>523</v>
      </c>
      <c r="D25" s="938" t="s">
        <v>524</v>
      </c>
      <c r="E25" s="937"/>
    </row>
    <row r="26" spans="1:5" x14ac:dyDescent="0.2">
      <c r="A26" s="1263"/>
      <c r="B26" s="1076"/>
      <c r="C26" s="938" t="s">
        <v>525</v>
      </c>
      <c r="D26" s="938" t="s">
        <v>526</v>
      </c>
      <c r="E26" s="937"/>
    </row>
    <row r="27" spans="1:5" ht="38.25" x14ac:dyDescent="0.2">
      <c r="A27" s="1263"/>
      <c r="B27" s="1076"/>
      <c r="C27" s="938" t="s">
        <v>528</v>
      </c>
      <c r="D27" s="938" t="s">
        <v>527</v>
      </c>
      <c r="E27" s="937"/>
    </row>
    <row r="28" spans="1:5" x14ac:dyDescent="0.2">
      <c r="A28" s="1263"/>
      <c r="B28" s="1076"/>
      <c r="C28" s="938" t="s">
        <v>529</v>
      </c>
      <c r="D28" s="938" t="s">
        <v>530</v>
      </c>
      <c r="E28" s="937"/>
    </row>
    <row r="29" spans="1:5" ht="25.5" x14ac:dyDescent="0.2">
      <c r="A29" s="1263"/>
      <c r="B29" s="1076"/>
      <c r="C29" s="938" t="s">
        <v>531</v>
      </c>
      <c r="D29" s="938" t="s">
        <v>532</v>
      </c>
      <c r="E29" s="937"/>
    </row>
    <row r="30" spans="1:5" ht="76.5" x14ac:dyDescent="0.2">
      <c r="A30" s="1263"/>
      <c r="B30" s="1076"/>
      <c r="C30" s="938" t="s">
        <v>564</v>
      </c>
      <c r="D30" s="938" t="s">
        <v>565</v>
      </c>
      <c r="E30" s="937"/>
    </row>
    <row r="31" spans="1:5" x14ac:dyDescent="0.2">
      <c r="A31" s="1263"/>
      <c r="B31" s="1073"/>
      <c r="C31" s="940" t="s">
        <v>533</v>
      </c>
      <c r="D31" s="940" t="s">
        <v>534</v>
      </c>
      <c r="E31" s="939"/>
    </row>
    <row r="32" spans="1:5" ht="38.25" x14ac:dyDescent="0.2">
      <c r="A32" s="1263"/>
      <c r="B32" s="1077" t="s">
        <v>480</v>
      </c>
      <c r="C32" s="923" t="s">
        <v>535</v>
      </c>
      <c r="D32" s="923" t="s">
        <v>536</v>
      </c>
      <c r="E32" s="925" t="s">
        <v>537</v>
      </c>
    </row>
    <row r="33" spans="1:5" ht="51" x14ac:dyDescent="0.2">
      <c r="A33" s="1263"/>
      <c r="B33" s="1078" t="s">
        <v>463</v>
      </c>
      <c r="C33" s="936" t="s">
        <v>538</v>
      </c>
      <c r="D33" s="936" t="s">
        <v>539</v>
      </c>
      <c r="E33" s="941"/>
    </row>
    <row r="34" spans="1:5" ht="38.25" x14ac:dyDescent="0.2">
      <c r="A34" s="1263"/>
      <c r="B34" s="1076"/>
      <c r="C34" s="938" t="s">
        <v>540</v>
      </c>
      <c r="D34" s="937"/>
      <c r="E34" s="937"/>
    </row>
    <row r="35" spans="1:5" ht="25.5" x14ac:dyDescent="0.2">
      <c r="A35" s="1263"/>
      <c r="B35" s="1076"/>
      <c r="C35" s="938" t="s">
        <v>541</v>
      </c>
      <c r="D35" s="937"/>
      <c r="E35" s="937"/>
    </row>
    <row r="36" spans="1:5" ht="38.25" x14ac:dyDescent="0.2">
      <c r="A36" s="1263"/>
      <c r="B36" s="1076"/>
      <c r="C36" s="938" t="s">
        <v>543</v>
      </c>
      <c r="D36" s="937"/>
      <c r="E36" s="937"/>
    </row>
    <row r="37" spans="1:5" ht="38.25" x14ac:dyDescent="0.2">
      <c r="A37" s="1263"/>
      <c r="B37" s="1076"/>
      <c r="C37" s="938" t="s">
        <v>542</v>
      </c>
      <c r="D37" s="937"/>
      <c r="E37" s="937"/>
    </row>
    <row r="38" spans="1:5" ht="38.25" x14ac:dyDescent="0.2">
      <c r="A38" s="1263"/>
      <c r="B38" s="1076"/>
      <c r="C38" s="938" t="s">
        <v>544</v>
      </c>
      <c r="D38" s="937"/>
      <c r="E38" s="937"/>
    </row>
    <row r="39" spans="1:5" ht="25.5" x14ac:dyDescent="0.2">
      <c r="A39" s="1263"/>
      <c r="B39" s="1076"/>
      <c r="C39" s="938" t="s">
        <v>545</v>
      </c>
      <c r="D39" s="937"/>
      <c r="E39" s="937"/>
    </row>
    <row r="40" spans="1:5" ht="25.5" x14ac:dyDescent="0.2">
      <c r="A40" s="1263"/>
      <c r="B40" s="1076"/>
      <c r="C40" s="938" t="s">
        <v>546</v>
      </c>
      <c r="D40" s="937"/>
      <c r="E40" s="937"/>
    </row>
    <row r="41" spans="1:5" ht="25.5" x14ac:dyDescent="0.2">
      <c r="A41" s="1263"/>
      <c r="B41" s="1076"/>
      <c r="C41" s="938" t="s">
        <v>548</v>
      </c>
      <c r="D41" s="942" t="s">
        <v>557</v>
      </c>
      <c r="E41" s="937"/>
    </row>
    <row r="42" spans="1:5" ht="25.5" x14ac:dyDescent="0.2">
      <c r="A42" s="1263"/>
      <c r="B42" s="1076"/>
      <c r="C42" s="938" t="s">
        <v>549</v>
      </c>
      <c r="D42" s="937"/>
      <c r="E42" s="937"/>
    </row>
    <row r="43" spans="1:5" x14ac:dyDescent="0.2">
      <c r="A43" s="1263"/>
      <c r="B43" s="1076"/>
      <c r="C43" s="938" t="s">
        <v>550</v>
      </c>
      <c r="D43" s="937" t="s">
        <v>551</v>
      </c>
      <c r="E43" s="937"/>
    </row>
    <row r="44" spans="1:5" x14ac:dyDescent="0.2">
      <c r="A44" s="1263"/>
      <c r="B44" s="1076"/>
      <c r="C44" s="940" t="s">
        <v>552</v>
      </c>
      <c r="D44" s="939" t="s">
        <v>553</v>
      </c>
      <c r="E44" s="939"/>
    </row>
    <row r="45" spans="1:5" x14ac:dyDescent="0.2">
      <c r="A45" s="1263"/>
      <c r="B45" s="1073"/>
      <c r="C45" s="925" t="s">
        <v>554</v>
      </c>
      <c r="D45" s="926"/>
      <c r="E45" s="926"/>
    </row>
    <row r="46" spans="1:5" ht="25.5" x14ac:dyDescent="0.2">
      <c r="A46" s="1263"/>
      <c r="B46" s="1079" t="s">
        <v>476</v>
      </c>
      <c r="C46" s="936" t="s">
        <v>555</v>
      </c>
      <c r="D46" s="943" t="s">
        <v>556</v>
      </c>
      <c r="E46" s="941"/>
    </row>
    <row r="47" spans="1:5" ht="51" x14ac:dyDescent="0.2">
      <c r="A47" s="1263"/>
      <c r="B47" s="1073"/>
      <c r="C47" s="956" t="s">
        <v>600</v>
      </c>
      <c r="D47" s="924"/>
      <c r="E47" s="924"/>
    </row>
    <row r="48" spans="1:5" ht="25.5" x14ac:dyDescent="0.2">
      <c r="A48" s="1263"/>
      <c r="B48" s="1079" t="s">
        <v>559</v>
      </c>
      <c r="C48" s="936" t="s">
        <v>560</v>
      </c>
      <c r="D48" s="943" t="s">
        <v>563</v>
      </c>
      <c r="E48" s="941"/>
    </row>
    <row r="49" spans="1:5" ht="25.5" x14ac:dyDescent="0.2">
      <c r="A49" s="1264"/>
      <c r="B49" s="1076"/>
      <c r="C49" s="940" t="s">
        <v>561</v>
      </c>
      <c r="D49" s="944" t="s">
        <v>562</v>
      </c>
      <c r="E49" s="939"/>
    </row>
    <row r="50" spans="1:5" ht="25.5" x14ac:dyDescent="0.2">
      <c r="A50" s="1254">
        <v>45240</v>
      </c>
      <c r="B50" s="927" t="s">
        <v>559</v>
      </c>
      <c r="C50" s="925" t="s">
        <v>572</v>
      </c>
      <c r="D50" s="943" t="s">
        <v>573</v>
      </c>
      <c r="E50" s="926"/>
    </row>
    <row r="51" spans="1:5" x14ac:dyDescent="0.2">
      <c r="A51" s="1255"/>
      <c r="B51" s="1253" t="s">
        <v>463</v>
      </c>
      <c r="C51" s="936" t="s">
        <v>574</v>
      </c>
      <c r="D51" s="941" t="s">
        <v>575</v>
      </c>
      <c r="E51" s="941"/>
    </row>
    <row r="52" spans="1:5" ht="25.5" x14ac:dyDescent="0.2">
      <c r="A52" s="1255"/>
      <c r="B52" s="1265"/>
      <c r="C52" s="938" t="s">
        <v>576</v>
      </c>
      <c r="D52" s="942" t="s">
        <v>577</v>
      </c>
      <c r="E52" s="937"/>
    </row>
    <row r="53" spans="1:5" ht="76.5" x14ac:dyDescent="0.2">
      <c r="A53" s="1255"/>
      <c r="B53" s="1265"/>
      <c r="C53" s="938" t="s">
        <v>578</v>
      </c>
      <c r="D53" s="942" t="s">
        <v>581</v>
      </c>
      <c r="E53" s="937"/>
    </row>
    <row r="54" spans="1:5" ht="51" x14ac:dyDescent="0.2">
      <c r="A54" s="1255"/>
      <c r="B54" s="1265"/>
      <c r="C54" s="946" t="s">
        <v>579</v>
      </c>
      <c r="D54" s="937" t="s">
        <v>580</v>
      </c>
      <c r="E54" s="937"/>
    </row>
    <row r="55" spans="1:5" x14ac:dyDescent="0.2">
      <c r="A55" s="1255"/>
      <c r="B55" s="1080"/>
      <c r="C55" s="945" t="s">
        <v>591</v>
      </c>
      <c r="D55" s="945" t="s">
        <v>590</v>
      </c>
      <c r="E55" s="939"/>
    </row>
    <row r="56" spans="1:5" x14ac:dyDescent="0.2">
      <c r="A56" s="1255"/>
      <c r="B56" s="1252" t="s">
        <v>480</v>
      </c>
      <c r="C56" s="936" t="s">
        <v>525</v>
      </c>
      <c r="D56" s="941" t="s">
        <v>575</v>
      </c>
      <c r="E56" s="941"/>
    </row>
    <row r="57" spans="1:5" ht="38.25" x14ac:dyDescent="0.2">
      <c r="A57" s="1255"/>
      <c r="B57" s="1252"/>
      <c r="C57" s="947" t="s">
        <v>592</v>
      </c>
      <c r="D57" s="942" t="s">
        <v>596</v>
      </c>
      <c r="E57" s="937"/>
    </row>
    <row r="58" spans="1:5" ht="25.5" x14ac:dyDescent="0.2">
      <c r="A58" s="1255"/>
      <c r="B58" s="1253"/>
      <c r="C58" s="947" t="s">
        <v>535</v>
      </c>
      <c r="D58" s="942" t="s">
        <v>582</v>
      </c>
      <c r="E58" s="951"/>
    </row>
    <row r="59" spans="1:5" x14ac:dyDescent="0.2">
      <c r="A59" s="1255"/>
      <c r="B59" s="1081"/>
      <c r="C59" s="950" t="s">
        <v>588</v>
      </c>
      <c r="D59" s="949" t="s">
        <v>589</v>
      </c>
      <c r="E59" s="827"/>
    </row>
    <row r="60" spans="1:5" ht="25.5" x14ac:dyDescent="0.2">
      <c r="A60" s="1255"/>
      <c r="B60" s="1082" t="s">
        <v>493</v>
      </c>
      <c r="C60" s="952" t="s">
        <v>585</v>
      </c>
      <c r="D60" s="943" t="s">
        <v>586</v>
      </c>
      <c r="E60" s="953"/>
    </row>
    <row r="61" spans="1:5" x14ac:dyDescent="0.2">
      <c r="A61" s="1255"/>
      <c r="B61" s="1251"/>
      <c r="C61" s="947" t="s">
        <v>595</v>
      </c>
      <c r="D61" s="948" t="s">
        <v>587</v>
      </c>
      <c r="E61" s="951"/>
    </row>
    <row r="62" spans="1:5" x14ac:dyDescent="0.2">
      <c r="A62" s="1255"/>
      <c r="B62" s="1252"/>
      <c r="C62" s="954" t="s">
        <v>598</v>
      </c>
      <c r="D62" s="955" t="s">
        <v>599</v>
      </c>
      <c r="E62" s="951"/>
    </row>
    <row r="63" spans="1:5" ht="25.5" x14ac:dyDescent="0.2">
      <c r="A63" s="1255"/>
      <c r="B63" s="1253" t="s">
        <v>486</v>
      </c>
      <c r="C63" s="967" t="s">
        <v>593</v>
      </c>
      <c r="D63" s="968" t="s">
        <v>594</v>
      </c>
      <c r="E63" s="1074"/>
    </row>
    <row r="64" spans="1:5" ht="25.5" x14ac:dyDescent="0.2">
      <c r="A64" s="1256"/>
      <c r="B64" s="1083" t="s">
        <v>480</v>
      </c>
      <c r="C64" s="969" t="s">
        <v>601</v>
      </c>
      <c r="D64" s="177"/>
      <c r="E64" s="177"/>
    </row>
    <row r="65" spans="1:5" ht="38.25" x14ac:dyDescent="0.2">
      <c r="A65" s="976">
        <v>45244</v>
      </c>
      <c r="B65" s="1084" t="s">
        <v>463</v>
      </c>
      <c r="C65" s="970" t="s">
        <v>602</v>
      </c>
      <c r="D65" s="944" t="s">
        <v>603</v>
      </c>
      <c r="E65" s="971"/>
    </row>
    <row r="66" spans="1:5" x14ac:dyDescent="0.2">
      <c r="A66" s="1085">
        <v>45607</v>
      </c>
      <c r="B66" s="1086" t="s">
        <v>493</v>
      </c>
      <c r="C66" s="1087" t="s">
        <v>564</v>
      </c>
      <c r="D66" s="1088" t="s">
        <v>604</v>
      </c>
      <c r="E66" s="1088"/>
    </row>
    <row r="67" spans="1:5" x14ac:dyDescent="0.2">
      <c r="A67" s="1086"/>
      <c r="B67" s="1086"/>
      <c r="C67" s="1087" t="s">
        <v>605</v>
      </c>
      <c r="D67" s="1089">
        <v>45607</v>
      </c>
      <c r="E67" s="1088"/>
    </row>
    <row r="68" spans="1:5" x14ac:dyDescent="0.2">
      <c r="A68" s="1086"/>
      <c r="B68" s="1086"/>
      <c r="C68" s="1087" t="s">
        <v>585</v>
      </c>
      <c r="D68" s="1088" t="s">
        <v>606</v>
      </c>
      <c r="E68" s="1088"/>
    </row>
    <row r="69" spans="1:5" x14ac:dyDescent="0.2">
      <c r="A69" s="1086"/>
      <c r="B69" s="1086"/>
      <c r="C69" s="1087" t="s">
        <v>607</v>
      </c>
      <c r="D69" s="1088" t="s">
        <v>608</v>
      </c>
      <c r="E69" s="1088"/>
    </row>
    <row r="70" spans="1:5" x14ac:dyDescent="0.2">
      <c r="A70" s="1086"/>
      <c r="B70" s="1086" t="s">
        <v>480</v>
      </c>
      <c r="C70" s="1087" t="s">
        <v>614</v>
      </c>
      <c r="D70" s="1088" t="s">
        <v>617</v>
      </c>
      <c r="E70" s="1088"/>
    </row>
    <row r="71" spans="1:5" x14ac:dyDescent="0.2">
      <c r="A71" s="1086"/>
      <c r="B71" s="1086"/>
      <c r="C71" s="1087" t="s">
        <v>615</v>
      </c>
      <c r="D71" s="1088" t="s">
        <v>616</v>
      </c>
      <c r="E71" s="1088"/>
    </row>
    <row r="72" spans="1:5" x14ac:dyDescent="0.2">
      <c r="A72" s="1086"/>
      <c r="B72" s="1086"/>
      <c r="C72" s="1087" t="s">
        <v>620</v>
      </c>
      <c r="D72" s="1088" t="s">
        <v>639</v>
      </c>
      <c r="E72" s="1088"/>
    </row>
    <row r="73" spans="1:5" x14ac:dyDescent="0.2">
      <c r="A73" s="1086"/>
      <c r="B73" s="1086"/>
      <c r="C73" s="1087" t="s">
        <v>621</v>
      </c>
      <c r="D73" s="1088" t="s">
        <v>630</v>
      </c>
      <c r="E73" s="1088"/>
    </row>
    <row r="74" spans="1:5" x14ac:dyDescent="0.2">
      <c r="A74" s="1086"/>
      <c r="B74" s="1086"/>
      <c r="C74" s="1087" t="s">
        <v>624</v>
      </c>
      <c r="D74" s="1088" t="s">
        <v>631</v>
      </c>
      <c r="E74" s="1088"/>
    </row>
    <row r="75" spans="1:5" x14ac:dyDescent="0.2">
      <c r="A75" s="1086"/>
      <c r="B75" s="1086"/>
      <c r="C75" s="1087" t="s">
        <v>622</v>
      </c>
      <c r="D75" s="1088" t="s">
        <v>623</v>
      </c>
      <c r="E75" s="1088"/>
    </row>
    <row r="76" spans="1:5" x14ac:dyDescent="0.2">
      <c r="A76" s="1086"/>
      <c r="B76" s="1086"/>
      <c r="C76" s="1087" t="s">
        <v>625</v>
      </c>
      <c r="D76" s="1088" t="s">
        <v>626</v>
      </c>
      <c r="E76" s="1088"/>
    </row>
    <row r="77" spans="1:5" x14ac:dyDescent="0.2">
      <c r="A77" s="1086"/>
      <c r="B77" s="1086"/>
      <c r="C77" s="1087" t="s">
        <v>627</v>
      </c>
      <c r="D77" s="1088" t="s">
        <v>628</v>
      </c>
      <c r="E77" s="1088"/>
    </row>
    <row r="78" spans="1:5" x14ac:dyDescent="0.2">
      <c r="A78" s="1086"/>
      <c r="B78" s="1086"/>
      <c r="C78" s="1087" t="s">
        <v>632</v>
      </c>
      <c r="D78" s="1088" t="s">
        <v>633</v>
      </c>
      <c r="E78" s="1088"/>
    </row>
    <row r="79" spans="1:5" x14ac:dyDescent="0.2">
      <c r="A79" s="1086"/>
      <c r="B79" s="1086"/>
      <c r="C79" s="1087" t="s">
        <v>627</v>
      </c>
      <c r="D79" s="1088" t="s">
        <v>634</v>
      </c>
      <c r="E79" s="1088"/>
    </row>
    <row r="80" spans="1:5" x14ac:dyDescent="0.2">
      <c r="A80" s="1086"/>
      <c r="B80" s="1086"/>
      <c r="C80" s="1087" t="s">
        <v>637</v>
      </c>
      <c r="D80" s="1088" t="s">
        <v>696</v>
      </c>
      <c r="E80" s="1088"/>
    </row>
    <row r="81" spans="1:12" x14ac:dyDescent="0.2">
      <c r="A81" s="1086"/>
      <c r="B81" s="1086"/>
      <c r="C81" s="1087" t="s">
        <v>638</v>
      </c>
      <c r="D81" s="1088" t="s">
        <v>697</v>
      </c>
      <c r="E81" s="1088"/>
    </row>
    <row r="82" spans="1:12" x14ac:dyDescent="0.2">
      <c r="A82" s="1086"/>
      <c r="B82" s="1086"/>
      <c r="C82" s="1018" t="s">
        <v>646</v>
      </c>
      <c r="D82" s="1090" t="s">
        <v>647</v>
      </c>
      <c r="E82" s="1090"/>
      <c r="F82" s="1019"/>
      <c r="G82" s="1019"/>
      <c r="H82" s="1019"/>
      <c r="I82" s="1019"/>
      <c r="J82" s="1019"/>
      <c r="K82" s="1019"/>
    </row>
    <row r="83" spans="1:12" x14ac:dyDescent="0.2">
      <c r="A83" s="1086"/>
      <c r="B83" s="1086"/>
      <c r="C83" s="1018" t="s">
        <v>648</v>
      </c>
      <c r="D83" s="1090" t="s">
        <v>649</v>
      </c>
      <c r="E83" s="1090"/>
      <c r="F83" s="1019"/>
      <c r="G83" s="1019"/>
      <c r="H83" s="1019"/>
      <c r="I83" s="1019"/>
      <c r="J83" s="1019"/>
      <c r="K83" s="1019"/>
    </row>
    <row r="84" spans="1:12" x14ac:dyDescent="0.2">
      <c r="A84" s="1086"/>
      <c r="B84" s="1086"/>
      <c r="C84" s="1018" t="s">
        <v>650</v>
      </c>
      <c r="D84" s="1090" t="s">
        <v>651</v>
      </c>
      <c r="E84" s="1090"/>
      <c r="F84" s="1019"/>
      <c r="G84" s="1019"/>
      <c r="H84" s="1019"/>
      <c r="I84" s="1019"/>
      <c r="J84" s="1019"/>
      <c r="K84" s="1019"/>
    </row>
    <row r="85" spans="1:12" x14ac:dyDescent="0.2">
      <c r="A85" s="1086"/>
      <c r="B85" s="1086"/>
      <c r="C85" s="1087"/>
      <c r="D85" s="1088"/>
      <c r="E85" s="1088"/>
    </row>
    <row r="86" spans="1:12" x14ac:dyDescent="0.2">
      <c r="A86" s="1086"/>
      <c r="B86" s="1086" t="s">
        <v>463</v>
      </c>
      <c r="C86" s="1087" t="s">
        <v>641</v>
      </c>
      <c r="D86" s="1088" t="s">
        <v>640</v>
      </c>
      <c r="E86" s="1088"/>
    </row>
    <row r="87" spans="1:12" x14ac:dyDescent="0.2">
      <c r="A87" s="1086"/>
      <c r="B87" s="1086"/>
      <c r="C87" s="1087" t="s">
        <v>552</v>
      </c>
      <c r="D87" s="1088" t="s">
        <v>642</v>
      </c>
      <c r="E87" s="1088"/>
    </row>
    <row r="88" spans="1:12" ht="15" thickBot="1" x14ac:dyDescent="0.25">
      <c r="A88" s="1086"/>
      <c r="B88" s="1086"/>
      <c r="C88" s="1087" t="s">
        <v>644</v>
      </c>
      <c r="D88" s="1091" t="s">
        <v>645</v>
      </c>
      <c r="E88" s="1088"/>
    </row>
    <row r="89" spans="1:12" x14ac:dyDescent="0.2">
      <c r="A89" s="1086"/>
      <c r="B89" s="1086"/>
      <c r="C89" s="1018" t="s">
        <v>655</v>
      </c>
      <c r="D89" s="1090" t="s">
        <v>660</v>
      </c>
      <c r="E89" s="1090"/>
      <c r="F89" s="1019"/>
      <c r="G89" s="1019"/>
      <c r="H89" s="1019"/>
      <c r="I89" s="1019"/>
      <c r="J89" s="1019"/>
      <c r="K89" s="1019"/>
      <c r="L89" s="1019"/>
    </row>
    <row r="90" spans="1:12" x14ac:dyDescent="0.2">
      <c r="A90" s="1086"/>
      <c r="B90" s="1086"/>
      <c r="C90" s="1018" t="s">
        <v>656</v>
      </c>
      <c r="D90" s="1090" t="s">
        <v>657</v>
      </c>
      <c r="E90" s="1090"/>
      <c r="F90" s="1019"/>
      <c r="G90" s="1019"/>
      <c r="H90" s="1019"/>
      <c r="I90" s="1019"/>
      <c r="J90" s="1019"/>
      <c r="K90" s="1019"/>
      <c r="L90" s="1019"/>
    </row>
    <row r="91" spans="1:12" x14ac:dyDescent="0.2">
      <c r="A91" s="1086"/>
      <c r="B91" s="1086"/>
      <c r="C91" s="1018" t="s">
        <v>658</v>
      </c>
      <c r="D91" s="1090" t="s">
        <v>659</v>
      </c>
      <c r="E91" s="1090"/>
      <c r="F91" s="1019"/>
      <c r="G91" s="1019"/>
      <c r="H91" s="1019"/>
      <c r="I91" s="1019"/>
      <c r="J91" s="1019"/>
      <c r="K91" s="1019"/>
      <c r="L91" s="1019"/>
    </row>
    <row r="92" spans="1:12" x14ac:dyDescent="0.2">
      <c r="A92" s="1086"/>
      <c r="B92" s="1086"/>
      <c r="C92" s="1087" t="s">
        <v>669</v>
      </c>
      <c r="D92" s="1088" t="s">
        <v>670</v>
      </c>
      <c r="E92" s="1088"/>
      <c r="F92" s="1019"/>
      <c r="G92" s="1019"/>
      <c r="H92" s="1019"/>
      <c r="I92" s="1019"/>
      <c r="J92" s="1019"/>
      <c r="K92" s="1019"/>
      <c r="L92" s="1019"/>
    </row>
    <row r="93" spans="1:12" x14ac:dyDescent="0.2">
      <c r="A93" s="1086"/>
      <c r="B93" s="1086"/>
      <c r="C93" s="1046" t="s">
        <v>698</v>
      </c>
      <c r="D93" s="1088" t="s">
        <v>699</v>
      </c>
      <c r="E93" s="1088"/>
    </row>
    <row r="94" spans="1:12" x14ac:dyDescent="0.2">
      <c r="A94" s="1086"/>
      <c r="B94" s="1086" t="s">
        <v>661</v>
      </c>
      <c r="C94" s="1087" t="s">
        <v>671</v>
      </c>
      <c r="D94" s="1088"/>
      <c r="E94" s="1088"/>
    </row>
    <row r="95" spans="1:12" x14ac:dyDescent="0.2">
      <c r="A95" s="1086"/>
      <c r="B95" s="1086"/>
      <c r="C95" s="1088" t="s">
        <v>672</v>
      </c>
      <c r="D95" s="1088" t="s">
        <v>673</v>
      </c>
      <c r="E95" s="1088"/>
    </row>
    <row r="96" spans="1:12" x14ac:dyDescent="0.2">
      <c r="A96" s="1086"/>
      <c r="B96" s="1086"/>
      <c r="C96" s="1088" t="s">
        <v>682</v>
      </c>
      <c r="D96" s="1088" t="s">
        <v>681</v>
      </c>
      <c r="E96" s="1088"/>
    </row>
    <row r="97" spans="1:5" x14ac:dyDescent="0.2">
      <c r="A97" s="1086"/>
      <c r="B97" s="1086"/>
      <c r="C97" s="1088" t="s">
        <v>674</v>
      </c>
      <c r="D97" s="1088" t="s">
        <v>675</v>
      </c>
      <c r="E97" s="1088"/>
    </row>
    <row r="98" spans="1:5" x14ac:dyDescent="0.2">
      <c r="A98" s="1086"/>
      <c r="B98" s="1086"/>
      <c r="C98" s="1088" t="s">
        <v>676</v>
      </c>
      <c r="D98" s="1088" t="s">
        <v>677</v>
      </c>
      <c r="E98" s="1088"/>
    </row>
    <row r="99" spans="1:5" x14ac:dyDescent="0.2">
      <c r="A99" s="1086"/>
      <c r="B99" s="1086"/>
      <c r="C99" s="1088" t="s">
        <v>678</v>
      </c>
      <c r="D99" s="1088" t="s">
        <v>683</v>
      </c>
      <c r="E99" s="1088"/>
    </row>
    <row r="100" spans="1:5" x14ac:dyDescent="0.2">
      <c r="A100" s="1086"/>
      <c r="B100" s="1086"/>
      <c r="C100" s="1088" t="s">
        <v>679</v>
      </c>
      <c r="D100" s="1088" t="s">
        <v>680</v>
      </c>
      <c r="E100" s="1088"/>
    </row>
    <row r="101" spans="1:5" x14ac:dyDescent="0.2">
      <c r="A101" s="1086"/>
      <c r="B101" s="1086"/>
      <c r="C101" s="1088" t="s">
        <v>694</v>
      </c>
      <c r="D101" s="1088" t="s">
        <v>695</v>
      </c>
      <c r="E101" s="1088"/>
    </row>
    <row r="102" spans="1:5" x14ac:dyDescent="0.2">
      <c r="A102" s="1086"/>
      <c r="B102" s="1086"/>
      <c r="C102" s="1046" t="s">
        <v>698</v>
      </c>
      <c r="D102" s="1088" t="s">
        <v>700</v>
      </c>
      <c r="E102" s="1088"/>
    </row>
    <row r="103" spans="1:5" x14ac:dyDescent="0.2">
      <c r="A103" s="1086"/>
      <c r="B103" s="1086" t="s">
        <v>486</v>
      </c>
      <c r="C103" s="1088" t="s">
        <v>688</v>
      </c>
      <c r="D103" s="1088" t="s">
        <v>689</v>
      </c>
      <c r="E103" s="1088"/>
    </row>
    <row r="104" spans="1:5" x14ac:dyDescent="0.2">
      <c r="A104" s="1086"/>
      <c r="B104" s="1086" t="s">
        <v>476</v>
      </c>
      <c r="C104" s="1088" t="s">
        <v>685</v>
      </c>
      <c r="D104" s="1088" t="s">
        <v>693</v>
      </c>
      <c r="E104" s="1088"/>
    </row>
    <row r="105" spans="1:5" x14ac:dyDescent="0.2">
      <c r="A105" s="1086"/>
      <c r="B105" s="1086"/>
      <c r="C105" s="1088" t="s">
        <v>686</v>
      </c>
      <c r="D105" s="1088" t="s">
        <v>691</v>
      </c>
      <c r="E105" s="1088"/>
    </row>
    <row r="106" spans="1:5" x14ac:dyDescent="0.2">
      <c r="A106" s="1086"/>
      <c r="B106" s="1086"/>
      <c r="C106" s="1088" t="s">
        <v>687</v>
      </c>
      <c r="D106" s="1088" t="s">
        <v>692</v>
      </c>
      <c r="E106" s="1088"/>
    </row>
    <row r="107" spans="1:5" x14ac:dyDescent="0.2">
      <c r="A107" s="1086"/>
      <c r="B107" s="1092" t="s">
        <v>701</v>
      </c>
      <c r="C107" s="1088"/>
      <c r="D107" s="1088"/>
      <c r="E107" s="1088"/>
    </row>
    <row r="108" spans="1:5" x14ac:dyDescent="0.2">
      <c r="A108" s="1086"/>
      <c r="B108" s="1086" t="s">
        <v>559</v>
      </c>
      <c r="C108" s="1088" t="s">
        <v>667</v>
      </c>
      <c r="D108" s="1088" t="s">
        <v>668</v>
      </c>
      <c r="E108" s="1088"/>
    </row>
    <row r="109" spans="1:5" x14ac:dyDescent="0.2">
      <c r="A109" s="1086"/>
      <c r="B109" s="1086"/>
      <c r="C109" s="1088" t="s">
        <v>702</v>
      </c>
      <c r="D109" s="1088" t="s">
        <v>704</v>
      </c>
      <c r="E109" s="1088"/>
    </row>
    <row r="110" spans="1:5" x14ac:dyDescent="0.2">
      <c r="A110" s="1086"/>
      <c r="B110" s="1086"/>
      <c r="C110" s="1088" t="s">
        <v>703</v>
      </c>
      <c r="D110" s="1088" t="s">
        <v>706</v>
      </c>
      <c r="E110" s="1088"/>
    </row>
    <row r="111" spans="1:5" x14ac:dyDescent="0.2">
      <c r="A111" s="1094">
        <v>45608</v>
      </c>
      <c r="B111" s="1095" t="s">
        <v>661</v>
      </c>
      <c r="C111" s="1096" t="s">
        <v>708</v>
      </c>
      <c r="D111" s="1096" t="s">
        <v>709</v>
      </c>
      <c r="E111" s="1096"/>
    </row>
    <row r="112" spans="1:5" x14ac:dyDescent="0.2">
      <c r="A112" s="1086"/>
      <c r="B112" s="1086"/>
      <c r="C112" s="1088" t="s">
        <v>682</v>
      </c>
      <c r="D112" s="1088" t="s">
        <v>710</v>
      </c>
      <c r="E112" s="1088"/>
    </row>
    <row r="113" spans="1:5" x14ac:dyDescent="0.2">
      <c r="A113" s="1086"/>
      <c r="B113" s="1086" t="s">
        <v>480</v>
      </c>
      <c r="C113" s="1088" t="s">
        <v>712</v>
      </c>
      <c r="D113" s="1088" t="s">
        <v>711</v>
      </c>
      <c r="E113" s="1088"/>
    </row>
    <row r="114" spans="1:5" x14ac:dyDescent="0.2">
      <c r="A114" s="1086"/>
      <c r="B114" s="1086"/>
      <c r="C114" s="1088" t="s">
        <v>713</v>
      </c>
      <c r="D114" s="1088" t="s">
        <v>714</v>
      </c>
      <c r="E114" s="1088"/>
    </row>
    <row r="115" spans="1:5" x14ac:dyDescent="0.2">
      <c r="A115" s="1086"/>
      <c r="B115" s="1086"/>
      <c r="C115" s="1088" t="s">
        <v>716</v>
      </c>
      <c r="D115" s="1088" t="s">
        <v>715</v>
      </c>
      <c r="E115" s="1088"/>
    </row>
    <row r="116" spans="1:5" x14ac:dyDescent="0.2">
      <c r="A116" s="1094">
        <v>45609</v>
      </c>
      <c r="B116" s="1095" t="s">
        <v>463</v>
      </c>
      <c r="C116" s="1096" t="s">
        <v>720</v>
      </c>
      <c r="D116" s="1096" t="s">
        <v>721</v>
      </c>
      <c r="E116" s="1096"/>
    </row>
    <row r="117" spans="1:5" x14ac:dyDescent="0.2">
      <c r="A117" s="1086"/>
      <c r="B117" s="1086"/>
      <c r="C117" s="1088" t="s">
        <v>722</v>
      </c>
      <c r="D117" s="1088" t="s">
        <v>723</v>
      </c>
      <c r="E117" s="1088"/>
    </row>
    <row r="118" spans="1:5" x14ac:dyDescent="0.2">
      <c r="A118" s="1086"/>
      <c r="B118" s="1086" t="s">
        <v>493</v>
      </c>
      <c r="C118" s="1088" t="s">
        <v>724</v>
      </c>
      <c r="D118" s="1088" t="s">
        <v>725</v>
      </c>
      <c r="E118" s="1088"/>
    </row>
    <row r="119" spans="1:5" x14ac:dyDescent="0.2">
      <c r="A119" s="1086"/>
      <c r="B119" s="1086"/>
      <c r="C119" s="1088" t="s">
        <v>585</v>
      </c>
      <c r="D119" s="1088" t="s">
        <v>726</v>
      </c>
      <c r="E119" s="1088"/>
    </row>
    <row r="120" spans="1:5" x14ac:dyDescent="0.2">
      <c r="A120" s="1086"/>
      <c r="B120" s="1086" t="s">
        <v>480</v>
      </c>
      <c r="C120" s="1088" t="s">
        <v>620</v>
      </c>
      <c r="D120" s="1088" t="s">
        <v>727</v>
      </c>
      <c r="E120" s="1088"/>
    </row>
    <row r="121" spans="1:5" x14ac:dyDescent="0.2">
      <c r="A121" s="1086"/>
      <c r="B121" s="1086"/>
      <c r="C121" s="1088" t="s">
        <v>733</v>
      </c>
      <c r="D121" s="1088" t="s">
        <v>734</v>
      </c>
      <c r="E121" s="1088"/>
    </row>
    <row r="122" spans="1:5" x14ac:dyDescent="0.2">
      <c r="A122" s="1086"/>
      <c r="B122" s="1086"/>
      <c r="C122" s="1088" t="s">
        <v>731</v>
      </c>
      <c r="D122" s="1088" t="s">
        <v>732</v>
      </c>
      <c r="E122" s="1088"/>
    </row>
    <row r="123" spans="1:5" x14ac:dyDescent="0.2">
      <c r="A123" s="1086"/>
      <c r="B123" s="1086" t="s">
        <v>728</v>
      </c>
      <c r="C123" s="1088" t="s">
        <v>729</v>
      </c>
      <c r="D123" s="1088" t="s">
        <v>730</v>
      </c>
      <c r="E123" s="1088"/>
    </row>
    <row r="124" spans="1:5" x14ac:dyDescent="0.2">
      <c r="A124" s="1086"/>
      <c r="B124" s="1086"/>
      <c r="C124" s="1088" t="s">
        <v>737</v>
      </c>
      <c r="D124" s="1088" t="s">
        <v>735</v>
      </c>
      <c r="E124" s="1088"/>
    </row>
    <row r="125" spans="1:5" x14ac:dyDescent="0.2">
      <c r="A125" s="1086"/>
      <c r="B125" s="1086"/>
      <c r="C125" s="1088"/>
      <c r="D125" s="1088" t="s">
        <v>736</v>
      </c>
      <c r="E125" s="1088"/>
    </row>
    <row r="126" spans="1:5" x14ac:dyDescent="0.2">
      <c r="A126" s="1094">
        <v>45610</v>
      </c>
      <c r="B126" s="1095" t="s">
        <v>480</v>
      </c>
      <c r="C126" s="1096" t="s">
        <v>621</v>
      </c>
      <c r="D126" s="1096" t="s">
        <v>738</v>
      </c>
      <c r="E126" s="1096"/>
    </row>
    <row r="127" spans="1:5" x14ac:dyDescent="0.2">
      <c r="A127" s="1086"/>
      <c r="B127" s="1086" t="s">
        <v>661</v>
      </c>
      <c r="C127" s="1088" t="s">
        <v>676</v>
      </c>
      <c r="D127" s="1088" t="s">
        <v>739</v>
      </c>
      <c r="E127" s="1088"/>
    </row>
    <row r="128" spans="1:5" x14ac:dyDescent="0.2">
      <c r="A128" s="1086"/>
      <c r="B128" s="1086"/>
      <c r="C128" s="1088" t="s">
        <v>740</v>
      </c>
      <c r="D128" s="1088" t="s">
        <v>741</v>
      </c>
      <c r="E128" s="1088"/>
    </row>
    <row r="129" spans="1:5" x14ac:dyDescent="0.2">
      <c r="A129" s="1086"/>
      <c r="B129" s="1086"/>
      <c r="C129" s="1088" t="s">
        <v>708</v>
      </c>
      <c r="D129" s="1088" t="s">
        <v>746</v>
      </c>
      <c r="E129" s="1088"/>
    </row>
    <row r="130" spans="1:5" x14ac:dyDescent="0.2">
      <c r="A130" s="1086"/>
      <c r="B130" s="1086" t="s">
        <v>463</v>
      </c>
      <c r="C130" s="1088" t="s">
        <v>742</v>
      </c>
      <c r="D130" s="1088" t="s">
        <v>743</v>
      </c>
      <c r="E130" s="1088"/>
    </row>
    <row r="131" spans="1:5" x14ac:dyDescent="0.2">
      <c r="A131" s="1086"/>
      <c r="B131" s="1086"/>
      <c r="C131" s="1088" t="s">
        <v>744</v>
      </c>
      <c r="D131" s="1088" t="s">
        <v>745</v>
      </c>
      <c r="E131" s="1088"/>
    </row>
    <row r="132" spans="1:5" x14ac:dyDescent="0.2">
      <c r="A132" s="1094">
        <v>45617</v>
      </c>
      <c r="B132" s="1095" t="s">
        <v>496</v>
      </c>
      <c r="C132" s="1096" t="s">
        <v>747</v>
      </c>
      <c r="D132" s="1096"/>
      <c r="E132" s="1096"/>
    </row>
    <row r="133" spans="1:5" x14ac:dyDescent="0.2">
      <c r="A133" s="1086"/>
      <c r="B133" s="1086" t="s">
        <v>748</v>
      </c>
      <c r="C133" s="1088" t="s">
        <v>607</v>
      </c>
      <c r="D133" s="1088"/>
      <c r="E133" s="1088"/>
    </row>
    <row r="134" spans="1:5" x14ac:dyDescent="0.2">
      <c r="A134" s="1086"/>
      <c r="B134" s="1086" t="s">
        <v>559</v>
      </c>
      <c r="C134" s="1088" t="s">
        <v>752</v>
      </c>
      <c r="D134" s="1088" t="s">
        <v>753</v>
      </c>
      <c r="E134" s="1088"/>
    </row>
    <row r="135" spans="1:5" x14ac:dyDescent="0.2">
      <c r="A135" s="1086"/>
      <c r="B135" s="1092" t="s">
        <v>755</v>
      </c>
      <c r="C135" s="1093" t="s">
        <v>754</v>
      </c>
      <c r="D135" s="1093"/>
      <c r="E135" s="1088"/>
    </row>
    <row r="136" spans="1:5" x14ac:dyDescent="0.2">
      <c r="A136" s="243">
        <v>45621</v>
      </c>
      <c r="B136" s="1097" t="s">
        <v>480</v>
      </c>
      <c r="C136" s="1098" t="s">
        <v>756</v>
      </c>
      <c r="D136" t="s">
        <v>757</v>
      </c>
    </row>
  </sheetData>
  <sheetProtection algorithmName="SHA-512" hashValue="zp05rp6BHTspYEd3Jtddyi25yuTOmkXUttMpbICsqTdN7MEhoIisZl5/KayWakJlmvh5ZVGMPp5By3eq7irs3A==" saltValue="2ZY4FJcLpw5GiTuu3IMH3A==" spinCount="100000" sheet="1" objects="1" scenarios="1"/>
  <mergeCells count="7">
    <mergeCell ref="B61:B63"/>
    <mergeCell ref="A50:A64"/>
    <mergeCell ref="A2:E2"/>
    <mergeCell ref="E6:E9"/>
    <mergeCell ref="A24:A49"/>
    <mergeCell ref="B51:B54"/>
    <mergeCell ref="B56:B58"/>
  </mergeCells>
  <phoneticPr fontId="58" type="noConversion"/>
  <pageMargins left="0.70866141732283472" right="0.70866141732283472" top="0.78740157480314965" bottom="0.78740157480314965" header="0.31496062992125984" footer="0.31496062992125984"/>
  <pageSetup paperSize="9" scale="89" fitToHeight="10" orientation="landscape"/>
  <headerFooter>
    <oddFooter>&amp;LVersion: 21.11.2024&amp;CVerhandlungsunterlagen SGB XI (vereinfacht C1)&amp;RPSK-Beschluss vom 07.11.2024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13</vt:i4>
      </vt:variant>
    </vt:vector>
  </HeadingPairs>
  <TitlesOfParts>
    <vt:vector size="25" baseType="lpstr">
      <vt:lpstr>C1_Hinweise</vt:lpstr>
      <vt:lpstr>C1_Allgemeine Angaben</vt:lpstr>
      <vt:lpstr>C1_Kalkulation</vt:lpstr>
      <vt:lpstr>C1_Berechnung</vt:lpstr>
      <vt:lpstr>C1_Berechnung 2</vt:lpstr>
      <vt:lpstr>C1_Gesamtkalkulation</vt:lpstr>
      <vt:lpstr>C1_Bewohnervertretung</vt:lpstr>
      <vt:lpstr>C1_Ergebnis</vt:lpstr>
      <vt:lpstr>C1_Versionsinfo</vt:lpstr>
      <vt:lpstr>C1_Archiv</vt:lpstr>
      <vt:lpstr>KAT</vt:lpstr>
      <vt:lpstr>Adressverzeichnis</vt:lpstr>
      <vt:lpstr>Adressverzeichnis!Druckbereich</vt:lpstr>
      <vt:lpstr>'C1_Allgemeine Angaben'!Druckbereich</vt:lpstr>
      <vt:lpstr>'C1_Berechnung'!Druckbereich</vt:lpstr>
      <vt:lpstr>'C1_Berechnung 2'!Druckbereich</vt:lpstr>
      <vt:lpstr>'C1_Bewohnervertretung'!Druckbereich</vt:lpstr>
      <vt:lpstr>'C1_Ergebnis'!Druckbereich</vt:lpstr>
      <vt:lpstr>'C1_Gesamtkalkulation'!Druckbereich</vt:lpstr>
      <vt:lpstr>'C1_Hinweise'!Druckbereich</vt:lpstr>
      <vt:lpstr>'C1_Kalkulation'!Druckbereich</vt:lpstr>
      <vt:lpstr>'C1_Versionsinfo'!Druckbereich</vt:lpstr>
      <vt:lpstr>KAT!Druckbereich</vt:lpstr>
      <vt:lpstr>'C1_Versionsinfo'!Drucktitel</vt:lpstr>
      <vt:lpstr>eeadivisor</vt:lpstr>
    </vt:vector>
  </TitlesOfParts>
  <Company>AOK 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Antragsunterlage C1</dc:title>
  <dc:creator>AOK PLUS - Die Gesundheitskasse für Sachsen und Thüringen</dc:creator>
  <cp:lastPrinted>2024-11-22T16:35:46Z</cp:lastPrinted>
  <dcterms:created xsi:type="dcterms:W3CDTF">2012-08-21T12:23:19Z</dcterms:created>
  <dcterms:modified xsi:type="dcterms:W3CDTF">2024-11-25T13:18:36Z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f72c9e-ff9b-4d29-a8be-f698af1f1989_Enabled">
    <vt:lpwstr>true</vt:lpwstr>
  </property>
  <property fmtid="{D5CDD505-2E9C-101B-9397-08002B2CF9AE}" pid="3" name="MSIP_Label_94f72c9e-ff9b-4d29-a8be-f698af1f1989_SetDate">
    <vt:lpwstr>2024-11-22T16:16:48Z</vt:lpwstr>
  </property>
  <property fmtid="{D5CDD505-2E9C-101B-9397-08002B2CF9AE}" pid="4" name="MSIP_Label_94f72c9e-ff9b-4d29-a8be-f698af1f1989_Method">
    <vt:lpwstr>Privileged</vt:lpwstr>
  </property>
  <property fmtid="{D5CDD505-2E9C-101B-9397-08002B2CF9AE}" pid="5" name="MSIP_Label_94f72c9e-ff9b-4d29-a8be-f698af1f1989_Name">
    <vt:lpwstr>öffentlich</vt:lpwstr>
  </property>
  <property fmtid="{D5CDD505-2E9C-101B-9397-08002B2CF9AE}" pid="6" name="MSIP_Label_94f72c9e-ff9b-4d29-a8be-f698af1f1989_SiteId">
    <vt:lpwstr>f5342d95-aa7e-460f-b3ed-51b1514dd06a</vt:lpwstr>
  </property>
  <property fmtid="{D5CDD505-2E9C-101B-9397-08002B2CF9AE}" pid="7" name="MSIP_Label_94f72c9e-ff9b-4d29-a8be-f698af1f1989_ActionId">
    <vt:lpwstr>1339c01f-5199-4259-88a1-99c55a71aa08</vt:lpwstr>
  </property>
  <property fmtid="{D5CDD505-2E9C-101B-9397-08002B2CF9AE}" pid="8" name="MSIP_Label_94f72c9e-ff9b-4d29-a8be-f698af1f1989_ContentBits">
    <vt:lpwstr>2</vt:lpwstr>
  </property>
</Properties>
</file>