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DieseArbeitsmappe"/>
  <mc:AlternateContent xmlns:mc="http://schemas.openxmlformats.org/markup-compatibility/2006">
    <mc:Choice Requires="x15">
      <x15ac:absPath xmlns:x15ac="http://schemas.microsoft.com/office/spreadsheetml/2010/11/ac" url="\\data.plus.aok.de\dfs\DAT\G\PP\VM\S\_ALL\SAC\GREMIEN_ARBEITSGRUPPEN\UAG Antragsunterlagen\ab_14.08.2023\04_Abstimmungen_UAG\241111 UAG\Endversion Anträge\B1\"/>
    </mc:Choice>
  </mc:AlternateContent>
  <xr:revisionPtr revIDLastSave="0" documentId="13_ncr:1_{E5CB4FAD-7F6C-474A-9152-F262DC6399A9}" xr6:coauthVersionLast="47" xr6:coauthVersionMax="47" xr10:uidLastSave="{00000000-0000-0000-0000-000000000000}"/>
  <workbookProtection workbookAlgorithmName="SHA-512" workbookHashValue="MxHG1tMZP9amcIN+L1TjxHD4N4CAP1g9FR5Ta+pr3g7Oh33fC25WcFkG4FAca0jxE7blWvx2RTylyTWQ4phiyw==" workbookSaltValue="Rd0XL/va5cgSMPD1XlOv/A==" workbookSpinCount="100000" lockStructure="1"/>
  <bookViews>
    <workbookView xWindow="-120" yWindow="-120" windowWidth="29040" windowHeight="15840" tabRatio="783" firstSheet="2" activeTab="2" xr2:uid="{00000000-000D-0000-FFFF-FFFF00000000}"/>
  </bookViews>
  <sheets>
    <sheet name="B1_Versionsinfo" sheetId="10" state="hidden" r:id="rId1"/>
    <sheet name="KAT" sheetId="9" state="hidden" r:id="rId2"/>
    <sheet name="B1_Hinweise" sheetId="1" r:id="rId3"/>
    <sheet name="B1_Allgemeine Angaben" sheetId="2" r:id="rId4"/>
    <sheet name="B1_Kalkulation" sheetId="3" r:id="rId5"/>
    <sheet name="B1_Berechnung" sheetId="4" r:id="rId6"/>
    <sheet name="B1_Gesamtkalkulation" sheetId="5" r:id="rId7"/>
    <sheet name="B1_Bewohnervertretung" sheetId="6" r:id="rId8"/>
    <sheet name="B1_Ergebnis" sheetId="7" r:id="rId9"/>
    <sheet name="Adressverzeichnis" sheetId="8" r:id="rId10"/>
    <sheet name="B1_Archiv " sheetId="11" state="hidden" r:id="rId11"/>
    <sheet name="Tabelle1" sheetId="12" state="hidden" r:id="rId12"/>
  </sheets>
  <definedNames>
    <definedName name="divisor">#REF!</definedName>
    <definedName name="_xlnm.Print_Area" localSheetId="9">Adressverzeichnis!$A$1:$I$61</definedName>
    <definedName name="_xlnm.Print_Area" localSheetId="3">'B1_Allgemeine Angaben'!$A$1:$N$74</definedName>
    <definedName name="_xlnm.Print_Area" localSheetId="5">B1_Berechnung!$A$1:$L$49</definedName>
    <definedName name="_xlnm.Print_Area" localSheetId="7">B1_Bewohnervertretung!$A$1:$N$64</definedName>
    <definedName name="_xlnm.Print_Area" localSheetId="8">B1_Ergebnis!$A$1:$M$53</definedName>
    <definedName name="_xlnm.Print_Area" localSheetId="6">B1_Gesamtkalkulation!$A$1:$W$54</definedName>
    <definedName name="_xlnm.Print_Area" localSheetId="2">B1_Hinweise!$A$1:$G$344</definedName>
    <definedName name="_xlnm.Print_Area" localSheetId="4">B1_Kalkulation!$A$1:$S$69</definedName>
    <definedName name="_xlnm.Print_Area" localSheetId="0">B1_Versionsinfo!$A$1:$E$264</definedName>
    <definedName name="_xlnm.Print_Area" localSheetId="1">KAT!$A$1</definedName>
    <definedName name="_xlnm.Print_Titles" localSheetId="0">B1_Versionsinfo!$5:$5</definedName>
    <definedName name="eeadivisor">B1_Gesamtkalkulation!$F$11</definedName>
    <definedName name="pnk">#REF!</definedName>
    <definedName name="risiko">#REF!</definedName>
    <definedName name="Z_9119B1A0_FD79_4FE4_B78E_10E0AEB8080B_.wvu.Cols" localSheetId="5" hidden="1">B1_Berechnung!$N:$S</definedName>
    <definedName name="Z_9119B1A0_FD79_4FE4_B78E_10E0AEB8080B_.wvu.Cols" localSheetId="6" hidden="1">B1_Gesamtkalkulation!$E:$G,B1_Gesamtkalkulation!$I:$I,B1_Gesamtkalkulation!$K:$K,B1_Gesamtkalkulation!$M:$M,B1_Gesamtkalkulation!$O:$O,B1_Gesamtkalkulation!$Q:$Q,B1_Gesamtkalkulation!$S:$S,B1_Gesamtkalkulation!$U:$U</definedName>
    <definedName name="Z_9119B1A0_FD79_4FE4_B78E_10E0AEB8080B_.wvu.Cols" localSheetId="4" hidden="1">B1_Kalkulation!$U:$AG</definedName>
    <definedName name="Z_9119B1A0_FD79_4FE4_B78E_10E0AEB8080B_.wvu.PrintArea" localSheetId="9" hidden="1">Adressverzeichnis!$A$1:$I$61</definedName>
    <definedName name="Z_9119B1A0_FD79_4FE4_B78E_10E0AEB8080B_.wvu.PrintArea" localSheetId="3" hidden="1">'B1_Allgemeine Angaben'!$A$1:$N$74</definedName>
    <definedName name="Z_9119B1A0_FD79_4FE4_B78E_10E0AEB8080B_.wvu.PrintArea" localSheetId="5" hidden="1">B1_Berechnung!$A$1:$L$49</definedName>
    <definedName name="Z_9119B1A0_FD79_4FE4_B78E_10E0AEB8080B_.wvu.PrintArea" localSheetId="7" hidden="1">B1_Bewohnervertretung!$A$1:$N$64</definedName>
    <definedName name="Z_9119B1A0_FD79_4FE4_B78E_10E0AEB8080B_.wvu.PrintArea" localSheetId="8" hidden="1">B1_Ergebnis!$A$1:$M$53</definedName>
    <definedName name="Z_9119B1A0_FD79_4FE4_B78E_10E0AEB8080B_.wvu.PrintArea" localSheetId="6" hidden="1">B1_Gesamtkalkulation!$A$1:$W$54</definedName>
    <definedName name="Z_9119B1A0_FD79_4FE4_B78E_10E0AEB8080B_.wvu.PrintArea" localSheetId="2" hidden="1">B1_Hinweise!$A$1:$G$344</definedName>
    <definedName name="Z_9119B1A0_FD79_4FE4_B78E_10E0AEB8080B_.wvu.PrintArea" localSheetId="4" hidden="1">B1_Kalkulation!$A$1:$S$69</definedName>
    <definedName name="Z_9119B1A0_FD79_4FE4_B78E_10E0AEB8080B_.wvu.Rows" localSheetId="9" hidden="1">Adressverzeichnis!$57:$57</definedName>
    <definedName name="Z_9119B1A0_FD79_4FE4_B78E_10E0AEB8080B_.wvu.Rows" localSheetId="6" hidden="1">B1_Gesamtkalkulation!$58:$58</definedName>
  </definedNames>
  <calcPr calcId="191029"/>
  <customWorkbookViews>
    <customWorkbookView name="Bischoff, Kathrin - Persönliche Ansicht" guid="{9119B1A0-FD79-4FE4-B78E-10E0AEB8080B}" mergeInterval="0" personalView="1" maximized="1" xWindow="-8" yWindow="-8" windowWidth="1552" windowHeight="840" tabRatio="783"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4" l="1"/>
  <c r="M42" i="11" l="1"/>
  <c r="L42" i="11"/>
  <c r="F42" i="11"/>
  <c r="E42" i="11"/>
  <c r="E30" i="4" l="1"/>
  <c r="M52" i="2" l="1"/>
  <c r="N102" i="9" l="1"/>
  <c r="P102" i="9" s="1"/>
  <c r="N101" i="9"/>
  <c r="M102" i="9"/>
  <c r="M101" i="9"/>
  <c r="D25" i="11"/>
  <c r="E25" i="11"/>
  <c r="P7" i="11"/>
  <c r="O7" i="11"/>
  <c r="N7" i="11"/>
  <c r="P6" i="11"/>
  <c r="N6" i="11"/>
  <c r="P5" i="11"/>
  <c r="N5" i="11"/>
  <c r="N4" i="11"/>
  <c r="O4" i="11" s="1"/>
  <c r="P4" i="11" s="1"/>
  <c r="P101" i="9" l="1"/>
  <c r="O101" i="9"/>
  <c r="M103" i="9"/>
  <c r="Q103" i="9"/>
  <c r="L20" i="3" s="1"/>
  <c r="O102" i="9"/>
  <c r="O8" i="11"/>
  <c r="O12" i="11" s="1"/>
  <c r="O13" i="11" s="1"/>
  <c r="O103" i="9" l="1"/>
  <c r="L19" i="3" s="1"/>
  <c r="L59" i="3"/>
  <c r="L41" i="7"/>
  <c r="L36" i="3" l="1"/>
  <c r="C103" i="9"/>
  <c r="D103" i="9"/>
  <c r="B103" i="9"/>
  <c r="B100" i="9"/>
  <c r="C100" i="9"/>
  <c r="M53" i="2" l="1"/>
  <c r="D43" i="4" l="1"/>
  <c r="S49" i="4" s="1"/>
  <c r="G5" i="11"/>
  <c r="G6" i="11"/>
  <c r="G4" i="11"/>
  <c r="K8" i="11"/>
  <c r="K12" i="11" s="1"/>
  <c r="K13" i="11" s="1"/>
  <c r="L6" i="11"/>
  <c r="J6" i="11"/>
  <c r="L5" i="11"/>
  <c r="J5" i="11"/>
  <c r="L4" i="11"/>
  <c r="J4" i="11"/>
  <c r="H4" i="11"/>
  <c r="K45" i="2" l="1"/>
  <c r="E29" i="4"/>
  <c r="E28" i="4"/>
  <c r="E24" i="4"/>
  <c r="E23" i="4"/>
  <c r="E22" i="4"/>
  <c r="E17" i="4"/>
  <c r="E16" i="4"/>
  <c r="E15" i="4"/>
  <c r="D39" i="4" l="1"/>
  <c r="E26" i="4"/>
  <c r="E20" i="4"/>
  <c r="B102" i="9" l="1"/>
  <c r="B101" i="9"/>
  <c r="B53" i="5" l="1"/>
  <c r="L28" i="3" l="1"/>
  <c r="K46" i="2" l="1"/>
  <c r="C7" i="3" l="1"/>
  <c r="F7" i="3" l="1"/>
  <c r="F4" i="3"/>
  <c r="A1" i="1" l="1"/>
  <c r="A39" i="1" s="1"/>
  <c r="A90" i="1" s="1"/>
  <c r="A141" i="1" s="1"/>
  <c r="A192" i="1" s="1"/>
  <c r="A243" i="1" s="1"/>
  <c r="A294" i="1" s="1"/>
  <c r="B7" i="11" l="1"/>
  <c r="D6" i="11"/>
  <c r="D5" i="11"/>
  <c r="B4" i="11"/>
  <c r="C4" i="11" s="1"/>
  <c r="C8" i="11" l="1"/>
  <c r="C12" i="11" s="1"/>
  <c r="C13" i="11" s="1"/>
  <c r="D4" i="11"/>
  <c r="K68" i="2" l="1"/>
  <c r="L60" i="3"/>
  <c r="L42" i="7" s="1"/>
  <c r="A1" i="7"/>
  <c r="B35" i="7"/>
  <c r="D7" i="2"/>
  <c r="C139" i="9"/>
  <c r="C127" i="9"/>
  <c r="L32" i="3"/>
  <c r="I32" i="7" s="1"/>
  <c r="B149" i="9"/>
  <c r="B150" i="9" s="1"/>
  <c r="C151" i="9"/>
  <c r="B137" i="9"/>
  <c r="B138" i="9" s="1"/>
  <c r="B125" i="9"/>
  <c r="B126" i="9"/>
  <c r="C115" i="9"/>
  <c r="B113" i="9"/>
  <c r="B114" i="9"/>
  <c r="F97" i="9"/>
  <c r="E97" i="9"/>
  <c r="I101" i="9"/>
  <c r="L50" i="3"/>
  <c r="L52" i="3"/>
  <c r="L53" i="3"/>
  <c r="L54" i="3"/>
  <c r="L55" i="3"/>
  <c r="L49" i="3"/>
  <c r="D39" i="5" s="1"/>
  <c r="L37" i="3"/>
  <c r="C35" i="7" s="1"/>
  <c r="L38" i="3"/>
  <c r="D35" i="7" s="1"/>
  <c r="L39" i="3"/>
  <c r="E35" i="7" s="1"/>
  <c r="L40" i="3"/>
  <c r="F35" i="7" s="1"/>
  <c r="L41" i="3"/>
  <c r="D32" i="5" s="1"/>
  <c r="L42" i="3"/>
  <c r="D33" i="5" s="1"/>
  <c r="L43" i="3"/>
  <c r="L44" i="3"/>
  <c r="D35" i="5" s="1"/>
  <c r="L45" i="3"/>
  <c r="D36" i="5" s="1"/>
  <c r="B13" i="7"/>
  <c r="D40" i="4"/>
  <c r="E40" i="4"/>
  <c r="C40" i="4"/>
  <c r="D102" i="9"/>
  <c r="I9" i="7"/>
  <c r="C9" i="7"/>
  <c r="L3" i="3"/>
  <c r="K3" i="3"/>
  <c r="B9" i="7"/>
  <c r="G5" i="7"/>
  <c r="K41" i="7"/>
  <c r="F16" i="3"/>
  <c r="F15" i="7"/>
  <c r="G13" i="7"/>
  <c r="G12" i="7"/>
  <c r="G11" i="7"/>
  <c r="G8" i="7"/>
  <c r="G7" i="7"/>
  <c r="G6" i="7"/>
  <c r="B12" i="7"/>
  <c r="B11" i="7"/>
  <c r="B8" i="7"/>
  <c r="B7" i="7"/>
  <c r="B6" i="7"/>
  <c r="K4" i="4"/>
  <c r="K3" i="4"/>
  <c r="I4" i="4"/>
  <c r="I3" i="4"/>
  <c r="B3" i="4"/>
  <c r="B4" i="4"/>
  <c r="A1" i="4"/>
  <c r="A1" i="3"/>
  <c r="C4" i="3"/>
  <c r="Q4" i="3"/>
  <c r="Q3" i="3"/>
  <c r="C3" i="3"/>
  <c r="F56" i="3"/>
  <c r="F10" i="3"/>
  <c r="D10" i="3"/>
  <c r="H15" i="7"/>
  <c r="L10" i="3"/>
  <c r="E19" i="7"/>
  <c r="F19" i="7"/>
  <c r="G19" i="7"/>
  <c r="C19" i="7"/>
  <c r="D18" i="7"/>
  <c r="E18" i="7"/>
  <c r="F18" i="7"/>
  <c r="G18" i="7"/>
  <c r="C18" i="7"/>
  <c r="I27" i="7"/>
  <c r="I28" i="3"/>
  <c r="D27" i="7" s="1"/>
  <c r="I29" i="3"/>
  <c r="O29" i="3" s="1"/>
  <c r="E28" i="7" s="1"/>
  <c r="E27" i="7"/>
  <c r="I30" i="3"/>
  <c r="F27" i="7" s="1"/>
  <c r="I31" i="3"/>
  <c r="G27" i="7" s="1"/>
  <c r="H23" i="7"/>
  <c r="D23" i="7"/>
  <c r="E23" i="7"/>
  <c r="F23" i="7"/>
  <c r="G23" i="7"/>
  <c r="C23" i="7"/>
  <c r="D19" i="7"/>
  <c r="L16" i="3"/>
  <c r="M16" i="3" s="1"/>
  <c r="C27" i="7"/>
  <c r="C18" i="4"/>
  <c r="J10" i="5"/>
  <c r="O33" i="3"/>
  <c r="O27" i="3"/>
  <c r="C28" i="7"/>
  <c r="O26" i="3"/>
  <c r="H24" i="7" s="1"/>
  <c r="C82" i="9"/>
  <c r="C83" i="9"/>
  <c r="C84" i="9"/>
  <c r="C85" i="9"/>
  <c r="C81" i="9"/>
  <c r="B85" i="9"/>
  <c r="B84" i="9"/>
  <c r="B83" i="9"/>
  <c r="B82" i="9"/>
  <c r="B81" i="9"/>
  <c r="F46" i="3"/>
  <c r="J20" i="3"/>
  <c r="J21" i="3"/>
  <c r="J22" i="3"/>
  <c r="J23" i="3"/>
  <c r="J24" i="3"/>
  <c r="C70" i="9"/>
  <c r="B70" i="9"/>
  <c r="C69" i="9"/>
  <c r="B69" i="9"/>
  <c r="C71" i="9"/>
  <c r="B71" i="9"/>
  <c r="D71" i="9" s="1"/>
  <c r="C72" i="9"/>
  <c r="B72" i="9"/>
  <c r="C73" i="9"/>
  <c r="B73" i="9"/>
  <c r="D62" i="9"/>
  <c r="J25" i="3" s="1"/>
  <c r="L6" i="5"/>
  <c r="J6" i="5"/>
  <c r="P6" i="5" s="1"/>
  <c r="J10" i="3"/>
  <c r="C41" i="5"/>
  <c r="C42" i="5"/>
  <c r="C43" i="5"/>
  <c r="C44" i="5"/>
  <c r="C45" i="5"/>
  <c r="C40" i="5"/>
  <c r="B40" i="5"/>
  <c r="B41" i="5"/>
  <c r="B42" i="5"/>
  <c r="B43" i="5"/>
  <c r="B44" i="5"/>
  <c r="B45" i="5"/>
  <c r="B39" i="5"/>
  <c r="C49" i="9"/>
  <c r="D49" i="9"/>
  <c r="E49" i="9"/>
  <c r="F49" i="9"/>
  <c r="F56" i="9"/>
  <c r="E56" i="9"/>
  <c r="D56" i="9"/>
  <c r="C56" i="9"/>
  <c r="F53" i="9"/>
  <c r="E53" i="9"/>
  <c r="D53" i="9"/>
  <c r="F52" i="9"/>
  <c r="E52" i="9"/>
  <c r="D52" i="9"/>
  <c r="L12" i="3"/>
  <c r="J27" i="3" s="1"/>
  <c r="C25" i="4" s="1"/>
  <c r="C24" i="4" s="1"/>
  <c r="H10" i="5"/>
  <c r="L6" i="3"/>
  <c r="L10" i="5"/>
  <c r="P10" i="5"/>
  <c r="N10" i="5"/>
  <c r="D20" i="3"/>
  <c r="D21" i="3"/>
  <c r="D22" i="3"/>
  <c r="D23" i="3"/>
  <c r="D24" i="3"/>
  <c r="F12" i="3"/>
  <c r="D33" i="3" s="1"/>
  <c r="K32" i="3"/>
  <c r="K31" i="3"/>
  <c r="K30" i="3"/>
  <c r="K29" i="3"/>
  <c r="K28" i="3"/>
  <c r="K27" i="3"/>
  <c r="E27" i="3"/>
  <c r="E28" i="3"/>
  <c r="E29" i="3"/>
  <c r="E30" i="3"/>
  <c r="E31" i="3"/>
  <c r="E32" i="3"/>
  <c r="A4" i="2"/>
  <c r="A4" i="5" s="1"/>
  <c r="A4" i="6"/>
  <c r="S53" i="5"/>
  <c r="Q53" i="5"/>
  <c r="O53" i="5"/>
  <c r="M53" i="5"/>
  <c r="K53" i="5"/>
  <c r="I53" i="5"/>
  <c r="G53" i="5"/>
  <c r="D6" i="5"/>
  <c r="F7" i="2"/>
  <c r="A1" i="5"/>
  <c r="D11" i="2"/>
  <c r="E7" i="2"/>
  <c r="A3" i="2"/>
  <c r="A3" i="5"/>
  <c r="A3" i="6"/>
  <c r="L30" i="3"/>
  <c r="D29" i="3"/>
  <c r="D30" i="3"/>
  <c r="L31" i="3"/>
  <c r="G32" i="7" s="1"/>
  <c r="D32" i="7"/>
  <c r="L29" i="3"/>
  <c r="E32" i="7" s="1"/>
  <c r="B23" i="9"/>
  <c r="B115" i="9" l="1"/>
  <c r="B116" i="9" s="1"/>
  <c r="D85" i="9"/>
  <c r="D73" i="9"/>
  <c r="D72" i="9"/>
  <c r="D84" i="9"/>
  <c r="D70" i="9"/>
  <c r="J9" i="2"/>
  <c r="F21" i="4"/>
  <c r="F14" i="4"/>
  <c r="O15" i="4" s="1"/>
  <c r="F27" i="4"/>
  <c r="E25" i="4"/>
  <c r="D31" i="5"/>
  <c r="D30" i="5"/>
  <c r="Q30" i="5" s="1"/>
  <c r="B151" i="9"/>
  <c r="B152" i="9" s="1"/>
  <c r="D27" i="3"/>
  <c r="D28" i="3"/>
  <c r="B88" i="9"/>
  <c r="B127" i="9"/>
  <c r="B128" i="9" s="1"/>
  <c r="D83" i="9"/>
  <c r="B139" i="9"/>
  <c r="B140" i="9" s="1"/>
  <c r="D100" i="9"/>
  <c r="D29" i="5"/>
  <c r="Q29" i="5" s="1"/>
  <c r="O28" i="3"/>
  <c r="D28" i="7" s="1"/>
  <c r="D34" i="5"/>
  <c r="Q34" i="5" s="1"/>
  <c r="L46" i="3"/>
  <c r="L35" i="7" s="1"/>
  <c r="O31" i="3"/>
  <c r="G28" i="7" s="1"/>
  <c r="O30" i="3"/>
  <c r="F28" i="7" s="1"/>
  <c r="D26" i="3"/>
  <c r="D75" i="9"/>
  <c r="B74" i="9"/>
  <c r="L8" i="5"/>
  <c r="N8" i="5" s="1"/>
  <c r="M12" i="3"/>
  <c r="H11" i="5"/>
  <c r="N11" i="5"/>
  <c r="M48" i="5" s="1"/>
  <c r="N48" i="5" s="1"/>
  <c r="D42" i="5"/>
  <c r="Q42" i="5" s="1"/>
  <c r="C38" i="7"/>
  <c r="D45" i="5"/>
  <c r="Q45" i="5" s="1"/>
  <c r="D44" i="5"/>
  <c r="Q44" i="5" s="1"/>
  <c r="D43" i="5"/>
  <c r="Q43" i="5" s="1"/>
  <c r="D24" i="5"/>
  <c r="Q24" i="5" s="1"/>
  <c r="J28" i="3"/>
  <c r="D20" i="5" s="1"/>
  <c r="Q20" i="5" s="1"/>
  <c r="D82" i="9"/>
  <c r="J31" i="3"/>
  <c r="D23" i="5" s="1"/>
  <c r="Q23" i="5" s="1"/>
  <c r="J30" i="3"/>
  <c r="D22" i="5" s="1"/>
  <c r="Q22" i="5" s="1"/>
  <c r="J29" i="3"/>
  <c r="D21" i="5" s="1"/>
  <c r="J33" i="3"/>
  <c r="C31" i="4" s="1"/>
  <c r="C30" i="4" s="1"/>
  <c r="P17" i="4" s="1"/>
  <c r="D69" i="9"/>
  <c r="D74" i="9" s="1"/>
  <c r="D31" i="3"/>
  <c r="P11" i="5"/>
  <c r="O48" i="5" s="1"/>
  <c r="P48" i="5" s="1"/>
  <c r="E10" i="5"/>
  <c r="J11" i="5"/>
  <c r="I48" i="5" s="1"/>
  <c r="J48" i="5" s="1"/>
  <c r="D81" i="9"/>
  <c r="N6" i="5"/>
  <c r="L11" i="5"/>
  <c r="C25" i="3"/>
  <c r="D87" i="9"/>
  <c r="C129" i="9"/>
  <c r="B129" i="9" s="1"/>
  <c r="F25" i="9"/>
  <c r="C141" i="9"/>
  <c r="B141" i="9" s="1"/>
  <c r="C47" i="5"/>
  <c r="L51" i="3"/>
  <c r="L56" i="3" s="1"/>
  <c r="J26" i="3"/>
  <c r="C19" i="4" s="1"/>
  <c r="H49" i="2"/>
  <c r="D48" i="5"/>
  <c r="C153" i="9"/>
  <c r="B153" i="9" s="1"/>
  <c r="B154" i="9" s="1"/>
  <c r="C117" i="9"/>
  <c r="B117" i="9" s="1"/>
  <c r="B118" i="9" s="1"/>
  <c r="F32" i="7"/>
  <c r="Q39" i="5"/>
  <c r="B38" i="7"/>
  <c r="D40" i="5"/>
  <c r="G38" i="7"/>
  <c r="H38" i="7"/>
  <c r="E38" i="7"/>
  <c r="F38" i="7"/>
  <c r="D27" i="5"/>
  <c r="S27" i="5" s="1"/>
  <c r="S26" i="5" s="1"/>
  <c r="Q31" i="5"/>
  <c r="D28" i="5"/>
  <c r="G35" i="7"/>
  <c r="I35" i="7"/>
  <c r="Q36" i="5"/>
  <c r="Q35" i="5"/>
  <c r="Q33" i="5"/>
  <c r="J35" i="7"/>
  <c r="K35" i="7"/>
  <c r="H35" i="7"/>
  <c r="N17" i="4" l="1"/>
  <c r="O17" i="4"/>
  <c r="N16" i="4"/>
  <c r="O16" i="4"/>
  <c r="P16" i="4"/>
  <c r="F25" i="4"/>
  <c r="G25" i="4" s="1"/>
  <c r="E31" i="4"/>
  <c r="B130" i="9"/>
  <c r="B131" i="9" s="1"/>
  <c r="B132" i="9" s="1"/>
  <c r="B133" i="9" s="1"/>
  <c r="C133" i="9" s="1"/>
  <c r="E133" i="9" s="1"/>
  <c r="B142" i="9"/>
  <c r="B143" i="9" s="1"/>
  <c r="B144" i="9" s="1"/>
  <c r="B145" i="9" s="1"/>
  <c r="C145" i="9" s="1"/>
  <c r="E145" i="9" s="1"/>
  <c r="M36" i="3"/>
  <c r="G36" i="5"/>
  <c r="H36" i="5" s="1"/>
  <c r="G21" i="5"/>
  <c r="H21" i="5" s="1"/>
  <c r="I24" i="5"/>
  <c r="J24" i="5" s="1"/>
  <c r="I33" i="5"/>
  <c r="J33" i="5" s="1"/>
  <c r="M55" i="3"/>
  <c r="R23" i="5"/>
  <c r="M52" i="3"/>
  <c r="M53" i="3"/>
  <c r="M54" i="3"/>
  <c r="M50" i="3"/>
  <c r="I38" i="7"/>
  <c r="M51" i="3"/>
  <c r="D76" i="9"/>
  <c r="E72" i="9"/>
  <c r="E70" i="9"/>
  <c r="R42" i="5"/>
  <c r="I22" i="5"/>
  <c r="J22" i="5" s="1"/>
  <c r="R43" i="5"/>
  <c r="I31" i="5"/>
  <c r="J31" i="5" s="1"/>
  <c r="O39" i="5"/>
  <c r="P39" i="5" s="1"/>
  <c r="E69" i="9"/>
  <c r="I23" i="5"/>
  <c r="J23" i="5" s="1"/>
  <c r="G31" i="5"/>
  <c r="H31" i="5" s="1"/>
  <c r="O43" i="5"/>
  <c r="P43" i="5" s="1"/>
  <c r="R45" i="5"/>
  <c r="T27" i="5"/>
  <c r="T26" i="5" s="1"/>
  <c r="T51" i="5" s="1"/>
  <c r="K33" i="5"/>
  <c r="L33" i="5" s="1"/>
  <c r="G39" i="5"/>
  <c r="H39" i="5" s="1"/>
  <c r="H38" i="5" s="1"/>
  <c r="M29" i="5"/>
  <c r="N29" i="5" s="1"/>
  <c r="M23" i="5"/>
  <c r="N23" i="5" s="1"/>
  <c r="D86" i="9"/>
  <c r="G24" i="5"/>
  <c r="O30" i="5"/>
  <c r="P30" i="5" s="1"/>
  <c r="O35" i="5"/>
  <c r="P35" i="5" s="1"/>
  <c r="M24" i="5"/>
  <c r="N24" i="5" s="1"/>
  <c r="G35" i="5"/>
  <c r="R24" i="5"/>
  <c r="M44" i="5"/>
  <c r="N44" i="5" s="1"/>
  <c r="R36" i="5"/>
  <c r="G30" i="5"/>
  <c r="H30" i="5" s="1"/>
  <c r="O42" i="5"/>
  <c r="P42" i="5" s="1"/>
  <c r="I45" i="5"/>
  <c r="J45" i="5" s="1"/>
  <c r="O20" i="5"/>
  <c r="P20" i="5" s="1"/>
  <c r="K22" i="5"/>
  <c r="L22" i="5" s="1"/>
  <c r="M31" i="5"/>
  <c r="N31" i="5" s="1"/>
  <c r="I43" i="5"/>
  <c r="J43" i="5" s="1"/>
  <c r="R33" i="5"/>
  <c r="O44" i="5"/>
  <c r="P44" i="5" s="1"/>
  <c r="I35" i="5"/>
  <c r="J35" i="5" s="1"/>
  <c r="G22" i="5"/>
  <c r="H22" i="5" s="1"/>
  <c r="I36" i="5"/>
  <c r="J36" i="5" s="1"/>
  <c r="I34" i="5"/>
  <c r="J34" i="5" s="1"/>
  <c r="I28" i="5"/>
  <c r="J28" i="5" s="1"/>
  <c r="I42" i="5"/>
  <c r="J42" i="5" s="1"/>
  <c r="O40" i="5"/>
  <c r="P40" i="5" s="1"/>
  <c r="M49" i="3"/>
  <c r="M41" i="3"/>
  <c r="M45" i="3"/>
  <c r="M37" i="3"/>
  <c r="M40" i="3"/>
  <c r="M42" i="3"/>
  <c r="M38" i="3"/>
  <c r="M39" i="3"/>
  <c r="M44" i="3"/>
  <c r="M43" i="3"/>
  <c r="G43" i="5"/>
  <c r="H43" i="5" s="1"/>
  <c r="G34" i="5"/>
  <c r="H34" i="5" s="1"/>
  <c r="R35" i="5"/>
  <c r="M20" i="5"/>
  <c r="N20" i="5" s="1"/>
  <c r="K43" i="5"/>
  <c r="L43" i="5" s="1"/>
  <c r="R34" i="5"/>
  <c r="G20" i="5"/>
  <c r="H20" i="5" s="1"/>
  <c r="R31" i="5"/>
  <c r="R22" i="5"/>
  <c r="M39" i="5"/>
  <c r="N39" i="5" s="1"/>
  <c r="R44" i="5"/>
  <c r="G44" i="5"/>
  <c r="H44" i="5" s="1"/>
  <c r="I30" i="5"/>
  <c r="J30" i="5" s="1"/>
  <c r="O45" i="5"/>
  <c r="P45" i="5" s="1"/>
  <c r="I29" i="5"/>
  <c r="J29" i="5" s="1"/>
  <c r="I20" i="5"/>
  <c r="J20" i="5" s="1"/>
  <c r="G23" i="5"/>
  <c r="H23" i="5" s="1"/>
  <c r="E11" i="5"/>
  <c r="E71" i="9"/>
  <c r="M33" i="5"/>
  <c r="N33" i="5" s="1"/>
  <c r="G33" i="5"/>
  <c r="H33" i="5" s="1"/>
  <c r="O29" i="5"/>
  <c r="P29" i="5" s="1"/>
  <c r="M30" i="5"/>
  <c r="N30" i="5" s="1"/>
  <c r="M43" i="5"/>
  <c r="N43" i="5" s="1"/>
  <c r="O24" i="5"/>
  <c r="P24" i="5" s="1"/>
  <c r="M35" i="5"/>
  <c r="N35" i="5" s="1"/>
  <c r="K30" i="5"/>
  <c r="L30" i="5" s="1"/>
  <c r="M45" i="5"/>
  <c r="N45" i="5" s="1"/>
  <c r="R30" i="5"/>
  <c r="G45" i="5"/>
  <c r="M22" i="5"/>
  <c r="N22" i="5" s="1"/>
  <c r="O34" i="5"/>
  <c r="P34" i="5" s="1"/>
  <c r="K24" i="5"/>
  <c r="L24" i="5" s="1"/>
  <c r="O32" i="5"/>
  <c r="P32" i="5" s="1"/>
  <c r="I44" i="5"/>
  <c r="J44" i="5" s="1"/>
  <c r="O22" i="5"/>
  <c r="P22" i="5" s="1"/>
  <c r="K34" i="5"/>
  <c r="L34" i="5" s="1"/>
  <c r="M32" i="5"/>
  <c r="N32" i="5" s="1"/>
  <c r="G32" i="5"/>
  <c r="H32" i="5" s="1"/>
  <c r="M36" i="5"/>
  <c r="N36" i="5" s="1"/>
  <c r="M34" i="5"/>
  <c r="N34" i="5" s="1"/>
  <c r="I32" i="5"/>
  <c r="J32" i="5" s="1"/>
  <c r="O36" i="5"/>
  <c r="P36" i="5" s="1"/>
  <c r="G42" i="5"/>
  <c r="H42" i="5" s="1"/>
  <c r="K36" i="5"/>
  <c r="L36" i="5" s="1"/>
  <c r="M42" i="5"/>
  <c r="N42" i="5" s="1"/>
  <c r="I39" i="5"/>
  <c r="J39" i="5" s="1"/>
  <c r="O31" i="5"/>
  <c r="P31" i="5" s="1"/>
  <c r="O33" i="5"/>
  <c r="P33" i="5" s="1"/>
  <c r="K42" i="5"/>
  <c r="L42" i="5" s="1"/>
  <c r="R39" i="5"/>
  <c r="O23" i="5"/>
  <c r="P23" i="5" s="1"/>
  <c r="G29" i="5"/>
  <c r="H29" i="5" s="1"/>
  <c r="E73" i="9"/>
  <c r="K29" i="5"/>
  <c r="L29" i="5" s="1"/>
  <c r="K35" i="5"/>
  <c r="L35" i="5" s="1"/>
  <c r="K39" i="5"/>
  <c r="L39" i="5" s="1"/>
  <c r="K20" i="5"/>
  <c r="L20" i="5" s="1"/>
  <c r="K32" i="5"/>
  <c r="L32" i="5" s="1"/>
  <c r="K45" i="5"/>
  <c r="L45" i="5" s="1"/>
  <c r="K23" i="5"/>
  <c r="L23" i="5" s="1"/>
  <c r="F11" i="5"/>
  <c r="K31" i="5"/>
  <c r="L31" i="5" s="1"/>
  <c r="K44" i="5"/>
  <c r="L44" i="5" s="1"/>
  <c r="K48" i="5"/>
  <c r="K21" i="5"/>
  <c r="L21" i="5" s="1"/>
  <c r="O21" i="5"/>
  <c r="P21" i="5" s="1"/>
  <c r="M21" i="5"/>
  <c r="N21" i="5" s="1"/>
  <c r="Q21" i="5"/>
  <c r="R21" i="5" s="1"/>
  <c r="I21" i="5"/>
  <c r="J21" i="5" s="1"/>
  <c r="B155" i="9"/>
  <c r="B156" i="9" s="1"/>
  <c r="B157" i="9" s="1"/>
  <c r="C157" i="9" s="1"/>
  <c r="E157" i="9" s="1"/>
  <c r="C15" i="4"/>
  <c r="N15" i="4" s="1"/>
  <c r="B119" i="9"/>
  <c r="B120" i="9" s="1"/>
  <c r="B121" i="9" s="1"/>
  <c r="R20" i="5"/>
  <c r="D38" i="7"/>
  <c r="D41" i="5"/>
  <c r="D38" i="5" s="1"/>
  <c r="M40" i="5"/>
  <c r="N40" i="5" s="1"/>
  <c r="G40" i="5"/>
  <c r="H40" i="5" s="1"/>
  <c r="Q40" i="5"/>
  <c r="R40" i="5" s="1"/>
  <c r="K40" i="5"/>
  <c r="L40" i="5" s="1"/>
  <c r="I40" i="5"/>
  <c r="J40" i="5" s="1"/>
  <c r="O28" i="5"/>
  <c r="G28" i="5"/>
  <c r="D26" i="5"/>
  <c r="K28" i="5"/>
  <c r="L28" i="5" s="1"/>
  <c r="M28" i="5"/>
  <c r="R29" i="5"/>
  <c r="Q26" i="5"/>
  <c r="H25" i="4" l="1"/>
  <c r="I25" i="4" s="1"/>
  <c r="N18" i="4"/>
  <c r="O18" i="4"/>
  <c r="F31" i="4"/>
  <c r="G31" i="4" s="1"/>
  <c r="H31" i="4" s="1"/>
  <c r="J25" i="4"/>
  <c r="L27" i="3" s="1"/>
  <c r="L26" i="5"/>
  <c r="J26" i="5"/>
  <c r="C39" i="4"/>
  <c r="C41" i="4" s="1"/>
  <c r="N49" i="4" s="1"/>
  <c r="C43" i="4"/>
  <c r="R49" i="4" s="1"/>
  <c r="N14" i="4"/>
  <c r="N19" i="4" s="1"/>
  <c r="I31" i="4"/>
  <c r="J31" i="4" s="1"/>
  <c r="L33" i="3" s="1"/>
  <c r="D19" i="5" s="1"/>
  <c r="U19" i="5" s="1"/>
  <c r="V19" i="5" s="1"/>
  <c r="V51" i="5" s="1"/>
  <c r="C17" i="4"/>
  <c r="P15" i="4" s="1"/>
  <c r="C121" i="9"/>
  <c r="E121" i="9" s="1"/>
  <c r="J60" i="3"/>
  <c r="J42" i="7" s="1"/>
  <c r="T53" i="5"/>
  <c r="J64" i="3" s="1"/>
  <c r="J43" i="7" s="1"/>
  <c r="M56" i="3"/>
  <c r="M46" i="3"/>
  <c r="E35" i="5"/>
  <c r="E45" i="5"/>
  <c r="H45" i="5"/>
  <c r="E24" i="5"/>
  <c r="H35" i="5"/>
  <c r="E22" i="5"/>
  <c r="H24" i="5"/>
  <c r="E29" i="5"/>
  <c r="E36" i="5"/>
  <c r="E84" i="9"/>
  <c r="E85" i="9"/>
  <c r="E82" i="9"/>
  <c r="E83" i="9"/>
  <c r="O26" i="5"/>
  <c r="D88" i="9"/>
  <c r="I26" i="5"/>
  <c r="E33" i="5"/>
  <c r="E42" i="5"/>
  <c r="E23" i="5"/>
  <c r="E31" i="5"/>
  <c r="E43" i="5"/>
  <c r="E20" i="5"/>
  <c r="E30" i="5"/>
  <c r="M26" i="5"/>
  <c r="E81" i="9"/>
  <c r="E34" i="5"/>
  <c r="G26" i="5"/>
  <c r="E39" i="5"/>
  <c r="R26" i="5"/>
  <c r="R16" i="5"/>
  <c r="P28" i="5"/>
  <c r="P26" i="5" s="1"/>
  <c r="E44" i="5"/>
  <c r="E32" i="5"/>
  <c r="L48" i="5"/>
  <c r="E48" i="5"/>
  <c r="K26" i="5"/>
  <c r="E28" i="5"/>
  <c r="H28" i="5"/>
  <c r="H26" i="5" s="1"/>
  <c r="E21" i="5"/>
  <c r="Q16" i="5"/>
  <c r="O14" i="4"/>
  <c r="O19" i="4" s="1"/>
  <c r="D41" i="4"/>
  <c r="O49" i="4" s="1"/>
  <c r="M41" i="5"/>
  <c r="N41" i="5" s="1"/>
  <c r="N38" i="5" s="1"/>
  <c r="K41" i="5"/>
  <c r="L41" i="5" s="1"/>
  <c r="L38" i="5" s="1"/>
  <c r="Q41" i="5"/>
  <c r="G41" i="5"/>
  <c r="G38" i="5" s="1"/>
  <c r="O41" i="5"/>
  <c r="I41" i="5"/>
  <c r="J41" i="5" s="1"/>
  <c r="J38" i="5" s="1"/>
  <c r="E40" i="5"/>
  <c r="N28" i="5"/>
  <c r="N26" i="5" s="1"/>
  <c r="E19" i="4" l="1"/>
  <c r="P18" i="4"/>
  <c r="C32" i="7"/>
  <c r="D18" i="5"/>
  <c r="O18" i="5"/>
  <c r="P18" i="5" s="1"/>
  <c r="I18" i="5"/>
  <c r="J18" i="5" s="1"/>
  <c r="K18" i="5"/>
  <c r="L18" i="5" s="1"/>
  <c r="G18" i="5"/>
  <c r="M18" i="5"/>
  <c r="N18" i="5" s="1"/>
  <c r="E39" i="4"/>
  <c r="E41" i="4" s="1"/>
  <c r="P49" i="4" s="1"/>
  <c r="E43" i="4"/>
  <c r="H32" i="7"/>
  <c r="K60" i="3"/>
  <c r="K42" i="7" s="1"/>
  <c r="V53" i="5"/>
  <c r="K64" i="3" s="1"/>
  <c r="K43" i="7" s="1"/>
  <c r="P14" i="4"/>
  <c r="E26" i="5"/>
  <c r="E86" i="9"/>
  <c r="F85" i="9"/>
  <c r="G85" i="9" s="1"/>
  <c r="F81" i="9"/>
  <c r="F83" i="9"/>
  <c r="G83" i="9" s="1"/>
  <c r="F82" i="9"/>
  <c r="G82" i="9" s="1"/>
  <c r="F84" i="9"/>
  <c r="G84" i="9" s="1"/>
  <c r="P41" i="5"/>
  <c r="P38" i="5" s="1"/>
  <c r="O38" i="5"/>
  <c r="I38" i="5"/>
  <c r="M38" i="5"/>
  <c r="K38" i="5"/>
  <c r="D49" i="4"/>
  <c r="V49" i="4" s="1"/>
  <c r="R41" i="5"/>
  <c r="R38" i="5" s="1"/>
  <c r="R51" i="5" s="1"/>
  <c r="Q38" i="5"/>
  <c r="C49" i="4"/>
  <c r="U49" i="4" s="1"/>
  <c r="H41" i="5"/>
  <c r="E41" i="5"/>
  <c r="E38" i="5" s="1"/>
  <c r="C44" i="4" l="1"/>
  <c r="E45" i="4" s="1"/>
  <c r="T49" i="4"/>
  <c r="F19" i="4"/>
  <c r="G19" i="4" s="1"/>
  <c r="H19" i="4" s="1"/>
  <c r="I19" i="4" s="1"/>
  <c r="J19" i="4" s="1"/>
  <c r="H18" i="5"/>
  <c r="E18" i="5"/>
  <c r="P19" i="4"/>
  <c r="E49" i="4" s="1"/>
  <c r="W49" i="4" s="1"/>
  <c r="D45" i="4"/>
  <c r="I60" i="3"/>
  <c r="I42" i="7" s="1"/>
  <c r="R53" i="5"/>
  <c r="I64" i="3" s="1"/>
  <c r="I43" i="7" s="1"/>
  <c r="H82" i="9"/>
  <c r="O21" i="3"/>
  <c r="D24" i="7" s="1"/>
  <c r="H84" i="9"/>
  <c r="O23" i="3"/>
  <c r="F24" i="7" s="1"/>
  <c r="H83" i="9"/>
  <c r="O22" i="3"/>
  <c r="E24" i="7" s="1"/>
  <c r="F88" i="9"/>
  <c r="G81" i="9"/>
  <c r="O24" i="3"/>
  <c r="G24" i="7" s="1"/>
  <c r="H85" i="9"/>
  <c r="C45" i="4"/>
  <c r="L26" i="3" l="1"/>
  <c r="D17" i="5" s="1"/>
  <c r="C47" i="4"/>
  <c r="O20" i="3"/>
  <c r="C24" i="7" s="1"/>
  <c r="H81" i="9"/>
  <c r="H88" i="9" s="1"/>
  <c r="F47" i="4" l="1"/>
  <c r="Q49" i="4"/>
  <c r="B32" i="7"/>
  <c r="F76" i="9"/>
  <c r="F72" i="9" s="1"/>
  <c r="F69" i="9"/>
  <c r="F70" i="9"/>
  <c r="F71" i="9"/>
  <c r="F73" i="9"/>
  <c r="G17" i="5"/>
  <c r="O17" i="5"/>
  <c r="K17" i="5"/>
  <c r="D16" i="5"/>
  <c r="M17" i="5"/>
  <c r="I17" i="5"/>
  <c r="F74" i="9" l="1"/>
  <c r="I16" i="5"/>
  <c r="J17" i="5"/>
  <c r="J16" i="5" s="1"/>
  <c r="J47" i="5" s="1"/>
  <c r="L17" i="5"/>
  <c r="L16" i="5" s="1"/>
  <c r="L47" i="5" s="1"/>
  <c r="K16" i="5"/>
  <c r="O16" i="5"/>
  <c r="P17" i="5"/>
  <c r="P16" i="5" s="1"/>
  <c r="P47" i="5" s="1"/>
  <c r="B27" i="9" s="1"/>
  <c r="N17" i="5"/>
  <c r="N16" i="5" s="1"/>
  <c r="N47" i="5" s="1"/>
  <c r="B26" i="9" s="1"/>
  <c r="M16" i="5"/>
  <c r="G16" i="5"/>
  <c r="E17" i="5"/>
  <c r="H17" i="5"/>
  <c r="H16" i="5" s="1"/>
  <c r="H34" i="9" l="1"/>
  <c r="E35" i="9"/>
  <c r="D35" i="9"/>
  <c r="E16" i="5"/>
  <c r="M47" i="5"/>
  <c r="M49" i="5" s="1"/>
  <c r="N53" i="5"/>
  <c r="E64" i="3" s="1"/>
  <c r="F43" i="7" s="1"/>
  <c r="B25" i="9"/>
  <c r="H33" i="9" s="1"/>
  <c r="K47" i="5"/>
  <c r="K49" i="5" s="1"/>
  <c r="L53" i="5"/>
  <c r="D64" i="3" s="1"/>
  <c r="E43" i="7" s="1"/>
  <c r="O47" i="5"/>
  <c r="O49" i="5" s="1"/>
  <c r="P53" i="5"/>
  <c r="F64" i="3" s="1"/>
  <c r="G43" i="7" s="1"/>
  <c r="B24" i="9"/>
  <c r="J53" i="5"/>
  <c r="I47" i="5"/>
  <c r="G35" i="9" l="1"/>
  <c r="H35" i="9" s="1"/>
  <c r="I49" i="5"/>
  <c r="E49" i="5" s="1"/>
  <c r="D47" i="5"/>
  <c r="D49" i="5" s="1"/>
  <c r="H53" i="5"/>
  <c r="B64" i="3" s="1"/>
  <c r="C43" i="7" s="1"/>
  <c r="C64" i="3"/>
  <c r="D43" i="7" s="1"/>
  <c r="D31" i="9"/>
  <c r="H32" i="9"/>
  <c r="E31" i="9"/>
  <c r="G31" i="9" l="1"/>
  <c r="H31" i="9" s="1"/>
  <c r="L49" i="5"/>
  <c r="L51" i="5" s="1"/>
  <c r="D60" i="3" s="1"/>
  <c r="E42" i="7" s="1"/>
  <c r="P49" i="5"/>
  <c r="P51" i="5" s="1"/>
  <c r="F60" i="3" s="1"/>
  <c r="G42" i="7" s="1"/>
  <c r="J49" i="5"/>
  <c r="N49" i="5"/>
  <c r="N51" i="5" s="1"/>
  <c r="E60" i="3" s="1"/>
  <c r="F42" i="7" s="1"/>
  <c r="J51" i="5" l="1"/>
  <c r="H60" i="3"/>
  <c r="H42" i="7" s="1"/>
  <c r="H47" i="5" l="1"/>
  <c r="C60" i="3"/>
  <c r="D42" i="7" s="1"/>
  <c r="G47" i="5" l="1"/>
  <c r="E47" i="5" s="1"/>
  <c r="H51" i="5"/>
  <c r="B60" i="3" s="1"/>
  <c r="C42" i="7" s="1"/>
  <c r="C104" i="9"/>
  <c r="C108" i="9" s="1"/>
  <c r="C109" i="9" s="1"/>
  <c r="D101" i="9" l="1"/>
  <c r="H6" i="11" l="1"/>
  <c r="G8" i="11"/>
  <c r="G12" i="11" s="1"/>
  <c r="G13" i="11" s="1"/>
  <c r="H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Bischoff, Kathrin</author>
  </authors>
  <commentList>
    <comment ref="D97" authorId="0" shapeId="0" xr:uid="{00000000-0006-0000-0A00-000001000000}">
      <text>
        <r>
          <rPr>
            <b/>
            <sz val="9"/>
            <color indexed="81"/>
            <rFont val="Segoe UI"/>
            <family val="2"/>
          </rPr>
          <t>Bischoff, Kathrin:</t>
        </r>
        <r>
          <rPr>
            <sz val="9"/>
            <color indexed="81"/>
            <rFont val="Segoe UI"/>
            <family val="2"/>
          </rPr>
          <t xml:space="preserve">
Abstimmung UAG - % je Fkt-Bereich nutzen keine Mittelwerte</t>
        </r>
      </text>
    </comment>
    <comment ref="B112" authorId="0" shapeId="0" xr:uid="{00000000-0006-0000-0A00-000002000000}">
      <text>
        <r>
          <rPr>
            <b/>
            <sz val="9"/>
            <color indexed="81"/>
            <rFont val="Segoe UI"/>
            <family val="2"/>
          </rPr>
          <t>Bischoff, Kathrin:</t>
        </r>
        <r>
          <rPr>
            <sz val="9"/>
            <color indexed="81"/>
            <rFont val="Segoe UI"/>
            <family val="2"/>
          </rPr>
          <t xml:space="preserve">
Mindestlohn bis 30.09.2022 = 10,45 €/h, ab 01.10.2022 = 12 €/h = pauschaler Ansatzb= 12,00 €/h UAG 30.05.2022</t>
        </r>
      </text>
    </comment>
    <comment ref="C115" authorId="0" shapeId="0" xr:uid="{00000000-0006-0000-0A00-000003000000}">
      <text>
        <r>
          <rPr>
            <b/>
            <sz val="9"/>
            <color indexed="81"/>
            <rFont val="Segoe UI"/>
            <family val="2"/>
          </rPr>
          <t>Bischoff, Kathrin:</t>
        </r>
        <r>
          <rPr>
            <sz val="9"/>
            <color indexed="81"/>
            <rFont val="Segoe UI"/>
            <family val="2"/>
          </rPr>
          <t xml:space="preserve">
Bezug zu TAB Berechnung</t>
        </r>
      </text>
    </comment>
    <comment ref="C117" authorId="0" shapeId="0" xr:uid="{00000000-0006-0000-0A00-000004000000}">
      <text>
        <r>
          <rPr>
            <b/>
            <sz val="9"/>
            <color indexed="81"/>
            <rFont val="Segoe UI"/>
            <family val="2"/>
          </rPr>
          <t>Bischoff, Kathrin:</t>
        </r>
        <r>
          <rPr>
            <sz val="9"/>
            <color indexed="81"/>
            <rFont val="Segoe UI"/>
            <family val="2"/>
          </rPr>
          <t xml:space="preserve">
Bezug zu E93/F93</t>
        </r>
      </text>
    </comment>
    <comment ref="B124" authorId="0" shapeId="0" xr:uid="{00000000-0006-0000-0A00-000005000000}">
      <text>
        <r>
          <rPr>
            <b/>
            <sz val="9"/>
            <color indexed="81"/>
            <rFont val="Segoe UI"/>
            <family val="2"/>
          </rPr>
          <t>Bischoff, Kathrin:</t>
        </r>
        <r>
          <rPr>
            <sz val="9"/>
            <color indexed="81"/>
            <rFont val="Segoe UI"/>
            <family val="2"/>
          </rPr>
          <t xml:space="preserve">
Mindestlohn bis 30.09.2022 = 10,45 €/h, ab 01.10.2022 = 12 €/h = pauschaler Ansatzb= 12,00 €/h UAG 30.05.2022</t>
        </r>
      </text>
    </comment>
    <comment ref="C127" authorId="0" shapeId="0" xr:uid="{00000000-0006-0000-0A00-000006000000}">
      <text>
        <r>
          <rPr>
            <b/>
            <sz val="9"/>
            <color indexed="81"/>
            <rFont val="Segoe UI"/>
            <family val="2"/>
          </rPr>
          <t>Bischoff, Kathrin:</t>
        </r>
        <r>
          <rPr>
            <sz val="9"/>
            <color indexed="81"/>
            <rFont val="Segoe UI"/>
            <family val="2"/>
          </rPr>
          <t xml:space="preserve">
Bezug zu TAB Berechnung</t>
        </r>
      </text>
    </comment>
    <comment ref="C129" authorId="0" shapeId="0" xr:uid="{00000000-0006-0000-0A00-000007000000}">
      <text>
        <r>
          <rPr>
            <b/>
            <sz val="9"/>
            <color indexed="81"/>
            <rFont val="Segoe UI"/>
            <family val="2"/>
          </rPr>
          <t>Bischoff, Kathrin:</t>
        </r>
        <r>
          <rPr>
            <sz val="9"/>
            <color indexed="81"/>
            <rFont val="Segoe UI"/>
            <family val="2"/>
          </rPr>
          <t xml:space="preserve">
Bezug zu E94/F94</t>
        </r>
      </text>
    </comment>
    <comment ref="B136" authorId="0" shapeId="0" xr:uid="{00000000-0006-0000-0A00-000008000000}">
      <text>
        <r>
          <rPr>
            <b/>
            <sz val="9"/>
            <color indexed="81"/>
            <rFont val="Segoe UI"/>
            <family val="2"/>
          </rPr>
          <t>Bischoff, Kathrin:</t>
        </r>
        <r>
          <rPr>
            <sz val="9"/>
            <color indexed="81"/>
            <rFont val="Segoe UI"/>
            <family val="2"/>
          </rPr>
          <t xml:space="preserve">
Mindestlohn bis 30.09.2022 = 10,45 €/h, ab 01.10.2022 = 12 €/h = pauschaler Ansatzb= 12,00 €/h UAG 30.05.2022</t>
        </r>
      </text>
    </comment>
    <comment ref="C139" authorId="0" shapeId="0" xr:uid="{00000000-0006-0000-0A00-000009000000}">
      <text>
        <r>
          <rPr>
            <b/>
            <sz val="9"/>
            <color indexed="81"/>
            <rFont val="Segoe UI"/>
            <family val="2"/>
          </rPr>
          <t>Bischoff, Kathrin:</t>
        </r>
        <r>
          <rPr>
            <sz val="9"/>
            <color indexed="81"/>
            <rFont val="Segoe UI"/>
            <family val="2"/>
          </rPr>
          <t xml:space="preserve">
Bezug zu TAB Berechnung</t>
        </r>
      </text>
    </comment>
    <comment ref="C141" authorId="0" shapeId="0" xr:uid="{00000000-0006-0000-0A00-00000A000000}">
      <text>
        <r>
          <rPr>
            <b/>
            <sz val="9"/>
            <color indexed="81"/>
            <rFont val="Segoe UI"/>
            <family val="2"/>
          </rPr>
          <t>Bischoff, Kathrin:</t>
        </r>
        <r>
          <rPr>
            <sz val="9"/>
            <color indexed="81"/>
            <rFont val="Segoe UI"/>
            <family val="2"/>
          </rPr>
          <t xml:space="preserve">
Bezug zu E95/F95</t>
        </r>
      </text>
    </comment>
    <comment ref="B148" authorId="0" shapeId="0" xr:uid="{00000000-0006-0000-0A00-00000B000000}">
      <text>
        <r>
          <rPr>
            <b/>
            <sz val="9"/>
            <color indexed="81"/>
            <rFont val="Segoe UI"/>
            <family val="2"/>
          </rPr>
          <t>Bischoff, Kathrin:</t>
        </r>
        <r>
          <rPr>
            <sz val="9"/>
            <color indexed="81"/>
            <rFont val="Segoe UI"/>
            <family val="2"/>
          </rPr>
          <t xml:space="preserve">
Mindestlohn bis 30.09.2022 = 10,45 €/h, ab 01.10.2022 = 12 €/h = pauschaler Ansatzb= 12,00 €/h UAG 30.05.2022</t>
        </r>
      </text>
    </comment>
    <comment ref="C151" authorId="0" shapeId="0" xr:uid="{00000000-0006-0000-0A00-00000C000000}">
      <text>
        <r>
          <rPr>
            <b/>
            <sz val="9"/>
            <color indexed="81"/>
            <rFont val="Segoe UI"/>
            <family val="2"/>
          </rPr>
          <t>Bischoff, Kathrin:</t>
        </r>
        <r>
          <rPr>
            <sz val="9"/>
            <color indexed="81"/>
            <rFont val="Segoe UI"/>
            <family val="2"/>
          </rPr>
          <t xml:space="preserve">
Bezug zu TAB Berechnung</t>
        </r>
      </text>
    </comment>
    <comment ref="C153" authorId="0" shapeId="0" xr:uid="{00000000-0006-0000-0A00-00000D000000}">
      <text>
        <r>
          <rPr>
            <b/>
            <sz val="9"/>
            <color indexed="81"/>
            <rFont val="Segoe UI"/>
            <family val="2"/>
          </rPr>
          <t>Bischoff, Kathrin:</t>
        </r>
        <r>
          <rPr>
            <sz val="9"/>
            <color indexed="81"/>
            <rFont val="Segoe UI"/>
            <family val="2"/>
          </rPr>
          <t xml:space="preserve">
Bezug zu E96/F96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Dietrich, Astrid</author>
  </authors>
  <commentList>
    <comment ref="E17" authorId="0" shapeId="0" xr:uid="{00000000-0006-0000-0500-000001000000}">
      <text>
        <r>
          <rPr>
            <sz val="8"/>
            <color indexed="81"/>
            <rFont val="Tahoma"/>
            <family val="2"/>
          </rPr>
          <t>Stolle, Simone:
Differenz ergibt sich aus Hundertstel VK-Diff. wegen Rundung Personalrelation auf 2 Nachkommastellen - ist nicht zu vermeiden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Bischoff, Kathrin</author>
  </authors>
  <commentList>
    <comment ref="D42" authorId="0" shapeId="0" xr:uid="{BE85CC38-34FB-49F1-8570-5F4D1E4358DF}">
      <text>
        <r>
          <rPr>
            <b/>
            <sz val="9"/>
            <color indexed="81"/>
            <rFont val="Segoe UI"/>
            <family val="2"/>
          </rPr>
          <t>Bischoff, Kathrin:</t>
        </r>
        <r>
          <rPr>
            <sz val="9"/>
            <color indexed="81"/>
            <rFont val="Segoe UI"/>
            <family val="2"/>
          </rPr>
          <t xml:space="preserve">
Abstimmung UAG - % je Fkt-Bereich nutzen keine Mittelwerte</t>
        </r>
      </text>
    </comment>
    <comment ref="K42" authorId="0" shapeId="0" xr:uid="{1EE7A3B3-A689-4DCB-AB93-FFAE10454136}">
      <text>
        <r>
          <rPr>
            <b/>
            <sz val="9"/>
            <color indexed="81"/>
            <rFont val="Segoe UI"/>
            <family val="2"/>
          </rPr>
          <t>Bischoff, Kathrin:</t>
        </r>
        <r>
          <rPr>
            <sz val="9"/>
            <color indexed="81"/>
            <rFont val="Segoe UI"/>
            <family val="2"/>
          </rPr>
          <t xml:space="preserve">
Abstimmung UAG - % je Fkt-Bereich nutzen keine Mittelwerte</t>
        </r>
      </text>
    </comment>
  </commentList>
</comments>
</file>

<file path=xl/sharedStrings.xml><?xml version="1.0" encoding="utf-8"?>
<sst xmlns="http://schemas.openxmlformats.org/spreadsheetml/2006/main" count="1655" uniqueCount="1057">
  <si>
    <t>Allgemeine Angaben</t>
  </si>
  <si>
    <t>Art der Einrichtung:</t>
  </si>
  <si>
    <t>Institutionskennzeichen:</t>
  </si>
  <si>
    <t>Allgemeine Angaben zur Pflegeeinrichtung und zum Träger</t>
  </si>
  <si>
    <t>Name der Einrichtung</t>
  </si>
  <si>
    <t>Straße</t>
  </si>
  <si>
    <t>PLZ, Ort</t>
  </si>
  <si>
    <t>Telefon</t>
  </si>
  <si>
    <t>Fax</t>
  </si>
  <si>
    <t>E-Mail</t>
  </si>
  <si>
    <t>PDL</t>
  </si>
  <si>
    <t>In Trägerschaft von:</t>
  </si>
  <si>
    <t>Name des Trägers</t>
  </si>
  <si>
    <t>Zugehörigkeit zu einer Vereinigung von Trägern von stationären Pflegeeinrichtungen im Land</t>
  </si>
  <si>
    <t>Wenn ja, welche?</t>
  </si>
  <si>
    <t>Hiermit erteilen wir o.g. Vereinigung Verhandlungsmandat</t>
  </si>
  <si>
    <t>Platzzahl der Pflegeeinrichtung entsprechend des Versorgungsvertrages:</t>
  </si>
  <si>
    <t>Pflegeeinrichtungskonzeption Stand:</t>
  </si>
  <si>
    <t>ist als Anlage beigefügt</t>
  </si>
  <si>
    <t>von</t>
  </si>
  <si>
    <t>bis</t>
  </si>
  <si>
    <t>AOK PLUS</t>
  </si>
  <si>
    <t>vdek</t>
  </si>
  <si>
    <t>BKK</t>
  </si>
  <si>
    <t>IKK</t>
  </si>
  <si>
    <t>Knappschaft</t>
  </si>
  <si>
    <t>PKV</t>
  </si>
  <si>
    <t>Sonstige Sozialversicherungsträger</t>
  </si>
  <si>
    <t>jährliche Öffnungstage:</t>
  </si>
  <si>
    <t>Plätze:</t>
  </si>
  <si>
    <t>Wachkoma</t>
  </si>
  <si>
    <t>2.</t>
  </si>
  <si>
    <t>Küche</t>
  </si>
  <si>
    <t>Haustechnik</t>
  </si>
  <si>
    <t>Wäscherei</t>
  </si>
  <si>
    <t>Reinigung</t>
  </si>
  <si>
    <t>Verwaltung</t>
  </si>
  <si>
    <t>2.1</t>
  </si>
  <si>
    <t>Lebensmittel</t>
  </si>
  <si>
    <t>2.2</t>
  </si>
  <si>
    <t>Pflegerischer Bedarf</t>
  </si>
  <si>
    <t>2.3</t>
  </si>
  <si>
    <t>2.4</t>
  </si>
  <si>
    <t>Verwaltungsbedarf</t>
  </si>
  <si>
    <t>2.5</t>
  </si>
  <si>
    <t>Zentrale Verwaltungsdienste</t>
  </si>
  <si>
    <t>2.6</t>
  </si>
  <si>
    <t>Betreuungsaufwand</t>
  </si>
  <si>
    <t>2.7</t>
  </si>
  <si>
    <t>Wirtschaftsbedarf</t>
  </si>
  <si>
    <t>2.8</t>
  </si>
  <si>
    <t>Steuern/Abgaben/Versicherungen</t>
  </si>
  <si>
    <t>2.9</t>
  </si>
  <si>
    <t>Wartung (keine Instandhaltung)</t>
  </si>
  <si>
    <t>2.10</t>
  </si>
  <si>
    <t>sonstige Aufwendungen</t>
  </si>
  <si>
    <t>Divisor:</t>
  </si>
  <si>
    <t>Pflegegrad 1</t>
  </si>
  <si>
    <t>Pflegegrad 2</t>
  </si>
  <si>
    <t>Pflegegrad 3</t>
  </si>
  <si>
    <t>Pflegegrad 4</t>
  </si>
  <si>
    <t>Pflegegrad 5</t>
  </si>
  <si>
    <t>Hauswirtschaft</t>
  </si>
  <si>
    <t>Pflegegrad 1:</t>
  </si>
  <si>
    <t>Pflegegrad 2:</t>
  </si>
  <si>
    <t>Pflegegrad 3:</t>
  </si>
  <si>
    <t>Pflegegrad 4:</t>
  </si>
  <si>
    <t>Pflegegrad 5:</t>
  </si>
  <si>
    <t>Ort, Datum</t>
  </si>
  <si>
    <t>Gesamtkalkulation</t>
  </si>
  <si>
    <t>GELBER TEIL</t>
  </si>
  <si>
    <t>Gesamtplätze:</t>
  </si>
  <si>
    <t>WIRD AUS-</t>
  </si>
  <si>
    <t>Tage/Monat</t>
  </si>
  <si>
    <t>GEBLENDET</t>
  </si>
  <si>
    <t>Leistungsbetrag § 43 SGB XI (nur vollstationär):</t>
  </si>
  <si>
    <t>Aufwendungen für Leistungen im Pflegegrad 1</t>
  </si>
  <si>
    <t>Aufwendungen für Leistungen im Pflegegrad 2</t>
  </si>
  <si>
    <t>Aufwendungen für Leistungen im Pflegegrad 3</t>
  </si>
  <si>
    <t>Aufwendungen für Leistungen im Pflegegrad 4</t>
  </si>
  <si>
    <t>Aufwendungen für Leistungen im Pflegegrad 5</t>
  </si>
  <si>
    <t>Aufwendungen für die Unterkunft</t>
  </si>
  <si>
    <t>Aufwendungen für die Verpflegung</t>
  </si>
  <si>
    <t>Gesamtaufwendungen</t>
  </si>
  <si>
    <t>Plausi Ges.</t>
  </si>
  <si>
    <t>Gesamt in €</t>
  </si>
  <si>
    <t xml:space="preserve">1. </t>
  </si>
  <si>
    <t>1.1.</t>
  </si>
  <si>
    <t>1.2.</t>
  </si>
  <si>
    <t>1.3.</t>
  </si>
  <si>
    <t>1.4.</t>
  </si>
  <si>
    <t>1.5.</t>
  </si>
  <si>
    <t>1.6.</t>
  </si>
  <si>
    <t>1.7.</t>
  </si>
  <si>
    <t>Sachaufwendungen</t>
  </si>
  <si>
    <t xml:space="preserve">3. </t>
  </si>
  <si>
    <t>Fremdleistungen / Trägerleistungen</t>
  </si>
  <si>
    <t>Umsatz Leistungsbeträge § 43 SGB XI:</t>
  </si>
  <si>
    <t xml:space="preserve"> Budget Eigenanteil nach Pflegegraden:</t>
  </si>
  <si>
    <t>errechnete Pflegesätze (Tag je Platz):</t>
  </si>
  <si>
    <t>Unterkunft:</t>
  </si>
  <si>
    <t>Verpflegung:</t>
  </si>
  <si>
    <t xml:space="preserve">   (ohne Ausbildungsvergütung nach § 82a SGB XI)</t>
  </si>
  <si>
    <t>1.8.</t>
  </si>
  <si>
    <t>gehe weiter zu Bewohnervertretung</t>
  </si>
  <si>
    <t>Stellungnahme der Bewohnervertretung gem. § 85 (3) SGB XI</t>
  </si>
  <si>
    <t>Bewohnervertretung</t>
  </si>
  <si>
    <t>Bewohnerfürsprecher *</t>
  </si>
  <si>
    <t>a)</t>
  </si>
  <si>
    <t xml:space="preserve">Schriftliche Stellungnahme liegt vor </t>
  </si>
  <si>
    <t>Ja</t>
  </si>
  <si>
    <t>weitere Angaben unter c) oder als Anlage erforderlich</t>
  </si>
  <si>
    <t>Nein</t>
  </si>
  <si>
    <t>weitere Angaben unter b) erforderlich</t>
  </si>
  <si>
    <t>b)</t>
  </si>
  <si>
    <t>Begründung für Nichtvorlage der schriftlichen Stellungnahme</t>
  </si>
  <si>
    <t xml:space="preserve">Gelegenheit zur Stellungnahme wurde eingeräumt, </t>
  </si>
  <si>
    <t>Bewohnervertretung oder Bewohnerfürsprecher nicht vorhanden,</t>
  </si>
  <si>
    <t>c)</t>
  </si>
  <si>
    <t>Einbeziehung der Bewohnervertretung / des Bewohnerfürsprechers:</t>
  </si>
  <si>
    <t>Stellungnahme der Bewohnervertretung / des Bewohnerfürsprechers:</t>
  </si>
  <si>
    <t>Unterschrift des Vorsitzenden der Bewohnervertretung</t>
  </si>
  <si>
    <t>oder des Bewohnerfürsprechers</t>
  </si>
  <si>
    <t>Einrichtungsart</t>
  </si>
  <si>
    <t>Kreuz</t>
  </si>
  <si>
    <t>Öffnungstage</t>
  </si>
  <si>
    <t>Auslastung</t>
  </si>
  <si>
    <t>Ja/Nein</t>
  </si>
  <si>
    <t xml:space="preserve">vollstationäre Pflege </t>
  </si>
  <si>
    <t>x</t>
  </si>
  <si>
    <t>ja</t>
  </si>
  <si>
    <t>4. Generation</t>
  </si>
  <si>
    <t>nein</t>
  </si>
  <si>
    <t>teilstationäre Pflege</t>
  </si>
  <si>
    <t>Kurzzeitpflege</t>
  </si>
  <si>
    <t>Pflegeeinrichtung:</t>
  </si>
  <si>
    <t>Einrichtungsleitung</t>
  </si>
  <si>
    <t>Web-Adresse</t>
  </si>
  <si>
    <t>bis:</t>
  </si>
  <si>
    <t>Pflege inklusive QM</t>
  </si>
  <si>
    <t>Betreuung</t>
  </si>
  <si>
    <t>ANT am PS</t>
  </si>
  <si>
    <t>Divisor allg</t>
  </si>
  <si>
    <t>§ 43b:</t>
  </si>
  <si>
    <t>Aufwendungen für § 43b</t>
  </si>
  <si>
    <t>Der vorliegende Antrag auf Abschluss einer neuen Pflegesatzvereinbarung, die zu einer Erhöhung der</t>
  </si>
  <si>
    <t>Entgelte für Pflege, Unterkunft, Verpflegung und des einrichtungseinheitlichen Eigenanteils in vollstationären</t>
  </si>
  <si>
    <t xml:space="preserve">Einrichtungen nach § 43 führen kann, wurde uns vom Einrichtungsträger vorgelegt und erläutert. Die dem   </t>
  </si>
  <si>
    <t xml:space="preserve">Antrag zugrunde liegenden Einzelpositionen, der Umlagemaßstab sowie die Antragsbegründung wurden </t>
  </si>
  <si>
    <t>ausführlich dargestellt und auf die Möglichkeit an der Pflegesatzverhandlung teilzunehmen hingewiesen.</t>
  </si>
  <si>
    <t>(gilt nur für vollstationäre Pflegeeinrichtungen)</t>
  </si>
  <si>
    <t>§ 43b SGB XI:</t>
  </si>
  <si>
    <r>
      <t xml:space="preserve">Aufwendungen für Leistungen im </t>
    </r>
    <r>
      <rPr>
        <b/>
        <sz val="10"/>
        <color theme="1"/>
        <rFont val="Arial"/>
        <family val="2"/>
      </rPr>
      <t>Pflegegrad 1</t>
    </r>
  </si>
  <si>
    <r>
      <t>Aufwendungen für Leistungen im</t>
    </r>
    <r>
      <rPr>
        <b/>
        <sz val="10"/>
        <color theme="1"/>
        <rFont val="Arial"/>
        <family val="2"/>
      </rPr>
      <t xml:space="preserve"> Pflegegrad 2</t>
    </r>
  </si>
  <si>
    <r>
      <t xml:space="preserve">Aufwendungen für Leistungen im </t>
    </r>
    <r>
      <rPr>
        <b/>
        <sz val="10"/>
        <color theme="1"/>
        <rFont val="Arial"/>
        <family val="2"/>
      </rPr>
      <t>Pflegegrad 3</t>
    </r>
  </si>
  <si>
    <r>
      <t xml:space="preserve">Aufwendungen für Leistungen im </t>
    </r>
    <r>
      <rPr>
        <b/>
        <sz val="10"/>
        <color theme="1"/>
        <rFont val="Arial"/>
        <family val="2"/>
      </rPr>
      <t>Pflegegrad 4</t>
    </r>
  </si>
  <si>
    <r>
      <t>Aufwendungen für Leistungen im</t>
    </r>
    <r>
      <rPr>
        <b/>
        <sz val="10"/>
        <color theme="1"/>
        <rFont val="Arial"/>
        <family val="2"/>
      </rPr>
      <t xml:space="preserve"> Pflegegrad 5</t>
    </r>
  </si>
  <si>
    <r>
      <t xml:space="preserve">Aufwendungen für die 
</t>
    </r>
    <r>
      <rPr>
        <b/>
        <sz val="10"/>
        <color theme="1"/>
        <rFont val="Arial"/>
        <family val="2"/>
      </rPr>
      <t>Unterkunft</t>
    </r>
  </si>
  <si>
    <r>
      <t xml:space="preserve">Aufwendungen für die 
</t>
    </r>
    <r>
      <rPr>
        <b/>
        <sz val="10"/>
        <color theme="1"/>
        <rFont val="Arial"/>
        <family val="2"/>
      </rPr>
      <t>Verpflegung</t>
    </r>
  </si>
  <si>
    <r>
      <t xml:space="preserve">Aufwendungen für 
</t>
    </r>
    <r>
      <rPr>
        <b/>
        <sz val="10"/>
        <color theme="1"/>
        <rFont val="Arial"/>
        <family val="2"/>
      </rPr>
      <t>§ 43b</t>
    </r>
  </si>
  <si>
    <t>Pflegekassen</t>
  </si>
  <si>
    <t xml:space="preserve">davon Träger der Sozialhilfe in %   </t>
  </si>
  <si>
    <t xml:space="preserve">Parteien der Pflegesatzvereinbarung (gem. § 85 Abs. 2 SGB XI) </t>
  </si>
  <si>
    <t>Anteil in %</t>
  </si>
  <si>
    <t>kalkulatorischer Auslastungsgrad:</t>
  </si>
  <si>
    <t>* Im Sinne der besseren Lesbarkeit wurde stellvertretend für beide Geschlechtsformen durchgehend nur die männliche Form verwendet.</t>
  </si>
  <si>
    <t>Bewohnervertretung oder Bewohnerfürsprecher haben diese nicht wahrgenommen</t>
  </si>
  <si>
    <t>(schriftliche Mitteilung des Trägers der Einrichtung an die zuständige Behörde beifügen)</t>
  </si>
  <si>
    <t xml:space="preserve">Adressverzeichnis der Parteien der Pflegesatzvereinbarung
gem. § 85 Abs. 2 SGB XI sowie von Vergütungen nach § 75 SGB XII
</t>
  </si>
  <si>
    <t>AOK PLUS - Die Gesundheitskasse für Sachsen und Thüringen</t>
  </si>
  <si>
    <t>Müllerstraße 41</t>
  </si>
  <si>
    <t>09113 Chemnitz</t>
  </si>
  <si>
    <t>IKK classic</t>
  </si>
  <si>
    <t>Postfach 10 02 51</t>
  </si>
  <si>
    <t>01072 Dresden</t>
  </si>
  <si>
    <t xml:space="preserve">Knappschaft </t>
  </si>
  <si>
    <t>Regionaldirektion Chemnitz</t>
  </si>
  <si>
    <t>Jagdschänkenstraße 50</t>
  </si>
  <si>
    <t>09117 Chemnitz</t>
  </si>
  <si>
    <t>Kommunaler Sozialverband Sachsen</t>
  </si>
  <si>
    <t>Arbeitsgemeinschaft Betriebskrankenkassen</t>
  </si>
  <si>
    <t>BKK-Landesverband Mitte</t>
  </si>
  <si>
    <t>Landesrepräsentanz Sachsen</t>
  </si>
  <si>
    <t>Dr.-Külz-Ring 12</t>
  </si>
  <si>
    <t>01219 Dresden</t>
  </si>
  <si>
    <t>Arbeitsgemeinschaft Ersatzkassen</t>
  </si>
  <si>
    <t>vdek - Landesvertretung Sachsen</t>
  </si>
  <si>
    <t>Glacisstr. 4</t>
  </si>
  <si>
    <t>01099 Dresden</t>
  </si>
  <si>
    <t>DAK-Gesundheit</t>
  </si>
  <si>
    <t>Kaufmännische Krankenkasse - KKH</t>
  </si>
  <si>
    <t>Verband der Privaten Kranken-</t>
  </si>
  <si>
    <t>versicherung e.V.</t>
  </si>
  <si>
    <t>Barmer</t>
  </si>
  <si>
    <t>Handelskrankenkasse (hkk)</t>
  </si>
  <si>
    <t>HEK - Hanseatische Krankenkasse</t>
  </si>
  <si>
    <t>Äquivalenzen</t>
  </si>
  <si>
    <t>PG 1</t>
  </si>
  <si>
    <t>PG 5</t>
  </si>
  <si>
    <t>PG 4</t>
  </si>
  <si>
    <t>PG 3</t>
  </si>
  <si>
    <t>PG 2</t>
  </si>
  <si>
    <t>PG</t>
  </si>
  <si>
    <t>EEA-Divisor</t>
  </si>
  <si>
    <t>a</t>
  </si>
  <si>
    <t>b</t>
  </si>
  <si>
    <t>Faktor tst</t>
  </si>
  <si>
    <t>Leistungbetrag vst</t>
  </si>
  <si>
    <t>e</t>
  </si>
  <si>
    <t>Kennzeichen Einrichtungsart:</t>
  </si>
  <si>
    <t>Personalaufwendungen (ohne 1.3.)</t>
  </si>
  <si>
    <r>
      <t>Freiwillige Dienste, FSJ</t>
    </r>
    <r>
      <rPr>
        <b/>
        <sz val="10"/>
        <color rgb="FFFF0000"/>
        <rFont val="Arial"/>
        <family val="2"/>
      </rPr>
      <t xml:space="preserve"> </t>
    </r>
  </si>
  <si>
    <t>check/Psatz</t>
  </si>
  <si>
    <t>g</t>
  </si>
  <si>
    <t>f = "tst"</t>
  </si>
  <si>
    <t>f = "KZP"</t>
  </si>
  <si>
    <t>Rechnung mit Äquvalenzen (Rothgang bei vst und KZP, Faktor bei tst)</t>
  </si>
  <si>
    <t>Hochrechnung der Pflegesätze bei Nullbelegung fürTP+KZP</t>
  </si>
  <si>
    <t>vst. PE mit Nullbelegung =&gt; Psätze Ermittlung dr. EEE + Leistungsbetrag, Psatz für PG 1 = 0,78 von Psatz PG 2</t>
  </si>
  <si>
    <t>Überlegung:</t>
  </si>
  <si>
    <t>h</t>
  </si>
  <si>
    <t>Faktor KZP</t>
  </si>
  <si>
    <t>"2" = tst, "1" = vst,WK, 4. Generation , "3" = KZP</t>
  </si>
  <si>
    <t>Abstimmung vom 07.08.2017 mit folgender Entscheidung:</t>
  </si>
  <si>
    <t xml:space="preserve"> - die Herleitung der Psätze für tst + KZP analog der Herleitung der PR bei Nichtbelegung</t>
  </si>
  <si>
    <t xml:space="preserve">   führt in einzelnen Fällen nicht zu den gewünschten Ergebnissen (siehe Testergebnisse vom 05.08.2017)</t>
  </si>
  <si>
    <t xml:space="preserve"> =&gt; desh. ist bei KzP und tst. PE der PG 2 bis 4 zwindend zu belegen</t>
  </si>
  <si>
    <t>Erläuterung zur Verformelung:</t>
  </si>
  <si>
    <t xml:space="preserve">                b)bilde den Psatz PG 1 und PG 5 ab, sofern belegt </t>
  </si>
  <si>
    <t xml:space="preserve">                c) ist der PG 1 bzw. PG 5 nicht belegt, dann "0"</t>
  </si>
  <si>
    <t xml:space="preserve">2. (Spalte f "tst" und f "kzp") </t>
  </si>
  <si>
    <t xml:space="preserve">    gilt 1 b) dann wird der kalkulierte Psatz abgebildet</t>
  </si>
  <si>
    <t xml:space="preserve">    gilt 1 c) dann wird anhand der jeweiligen Faktoren "tst" und "kzp" </t>
  </si>
  <si>
    <t xml:space="preserve">                 der Psatz für PG 1 vom Psatz PG 2  hochgerechnet</t>
  </si>
  <si>
    <t xml:space="preserve">                 der Psatz für PG 5 vom Psatz PG 4 hochgerechnet</t>
  </si>
  <si>
    <t>3. (Spalte g)</t>
  </si>
  <si>
    <t xml:space="preserve">     bilde die Psätze PG 1 und PG 5 entsprechend des Einrichtungstyp "tst" o. </t>
  </si>
  <si>
    <t xml:space="preserve">    "KZP" ab</t>
  </si>
  <si>
    <t>4. (Spalte h)</t>
  </si>
  <si>
    <t xml:space="preserve">    bilde alle Psätze entspr. für den einrichtungstyp "tst" oder "Kzp" ab</t>
  </si>
  <si>
    <t>07.08.2017 - Ableitung der Psätze für tst. PE und KZP bei Nullbelegungen</t>
  </si>
  <si>
    <t>1. Check - a) bilde den Psatz für PG 2 - 4 ab, falls Belegung "0" dann LEER</t>
  </si>
  <si>
    <t>Ansprechpartner/ Funktion</t>
  </si>
  <si>
    <t>Humboldtstraße 18</t>
  </si>
  <si>
    <t>04105 Leipzig</t>
  </si>
  <si>
    <t>vereinbarungen-pflege@ksv-sachsen.de</t>
  </si>
  <si>
    <t>Zelle H53 neue Formel: =WENN(Belegung!E26&gt;0;Gesamtkalkulation!H47*0,96/0,9;J53*0,78) STATT BISHER: =WENN('Allgemeine Angaben'!$L$45&gt;0;Gesamtkalkulation!L47*0,96/0,9;"")</t>
  </si>
  <si>
    <t>Nachrichtliche Angaben zum Zeitpunkt der Antragstellung und nicht Gegenstand dieses Antrages</t>
  </si>
  <si>
    <t>vom:</t>
  </si>
  <si>
    <t>Relationen</t>
  </si>
  <si>
    <t>Belegung:</t>
  </si>
  <si>
    <t>Fachkraftquote Pflege:</t>
  </si>
  <si>
    <t>Betreuung:</t>
  </si>
  <si>
    <t>Leitung/Verwaltung:</t>
  </si>
  <si>
    <t>Hauswirtschaft:</t>
  </si>
  <si>
    <t>Küche:</t>
  </si>
  <si>
    <t>Haustechnik:</t>
  </si>
  <si>
    <t>Personalkosten:</t>
  </si>
  <si>
    <t>zusätzliche Betreuung und Aktivierung nach       § 43 b SGB XI:</t>
  </si>
  <si>
    <t>Pflege gesamt:</t>
  </si>
  <si>
    <t>Funktionsbereich:</t>
  </si>
  <si>
    <t>gesamt:</t>
  </si>
  <si>
    <t>Stellen</t>
  </si>
  <si>
    <t>Personalausstattung:</t>
  </si>
  <si>
    <t>Freiwillige Dienste/FSJ Einsatz:</t>
  </si>
  <si>
    <t>Freiwillige Dienste/ FSJ Einsatz:</t>
  </si>
  <si>
    <t>€/VK / €/Stelle</t>
  </si>
  <si>
    <t>pflegerischer Sachbedarf</t>
  </si>
  <si>
    <t>Wasser, Energie, Brenntstoffe</t>
  </si>
  <si>
    <t>Gesamtsumme:</t>
  </si>
  <si>
    <t>2.1.</t>
  </si>
  <si>
    <t>2.2.</t>
  </si>
  <si>
    <t>2.3.</t>
  </si>
  <si>
    <t>2.4.</t>
  </si>
  <si>
    <t>2.5.</t>
  </si>
  <si>
    <t>2.6.</t>
  </si>
  <si>
    <t>2.7.</t>
  </si>
  <si>
    <t>2.8.</t>
  </si>
  <si>
    <t>2.9.</t>
  </si>
  <si>
    <t>2.10.</t>
  </si>
  <si>
    <t>Fremdleistungen/ Leistungen des Trägers</t>
  </si>
  <si>
    <t>sonstiges</t>
  </si>
  <si>
    <t>3.1.</t>
  </si>
  <si>
    <t>3.2.</t>
  </si>
  <si>
    <t>3.3.</t>
  </si>
  <si>
    <t>3.4.</t>
  </si>
  <si>
    <t>3.5.</t>
  </si>
  <si>
    <t>3.6.</t>
  </si>
  <si>
    <t>3.7.</t>
  </si>
  <si>
    <t>geforderte Pflegesätze:</t>
  </si>
  <si>
    <t>Unterkunft</t>
  </si>
  <si>
    <t>43 b SGB XI</t>
  </si>
  <si>
    <t>Vergütungszuschlag für:</t>
  </si>
  <si>
    <t>Datum</t>
  </si>
  <si>
    <t>Eigenanteil:</t>
  </si>
  <si>
    <t>Laufzeit:</t>
  </si>
  <si>
    <t>zusätzliche Betreuung und Aktivierung</t>
  </si>
  <si>
    <t>Leitung/ Verwaltung</t>
  </si>
  <si>
    <t>Wasser/ Energie/ Brennstoffe</t>
  </si>
  <si>
    <t>Steuern/ Abgaben/ Versicherungen</t>
  </si>
  <si>
    <r>
      <rPr>
        <sz val="10"/>
        <color theme="1"/>
        <rFont val="Arial"/>
        <family val="2"/>
      </rPr>
      <t>Wartung</t>
    </r>
    <r>
      <rPr>
        <sz val="9"/>
        <color theme="1"/>
        <rFont val="Arial"/>
        <family val="2"/>
      </rPr>
      <t xml:space="preserve"> (keine Instandhaltung)</t>
    </r>
  </si>
  <si>
    <t>Küche (ohne Pkt. 2.1)</t>
  </si>
  <si>
    <t>VK-Umfang für der PDL/stellv. PDL entsprechend RVT</t>
  </si>
  <si>
    <t>Plätze von</t>
  </si>
  <si>
    <t>Plätze bis</t>
  </si>
  <si>
    <t>VK</t>
  </si>
  <si>
    <t>VK PDL für PE</t>
  </si>
  <si>
    <t xml:space="preserve"> &lt; 151</t>
  </si>
  <si>
    <t>PDL/stellv. PDL</t>
  </si>
  <si>
    <t>TAB Berechnung VK-Umfang PDL/stellv. PDL eingefügt = Ergebnis mit TAB Kat verknüpft</t>
  </si>
  <si>
    <t>Belegung</t>
  </si>
  <si>
    <t>PR</t>
  </si>
  <si>
    <t>VK nach PR</t>
  </si>
  <si>
    <t>% Ansatz für Verteilung Pkosten Pflege</t>
  </si>
  <si>
    <t>PK-Pflege</t>
  </si>
  <si>
    <t>Summe:</t>
  </si>
  <si>
    <t>PDL lt. TAB Personalaufw.</t>
  </si>
  <si>
    <t>Gesamt VK Pflege inkl PDL/stellv.</t>
  </si>
  <si>
    <t>Wäschekennzeichnung</t>
  </si>
  <si>
    <t>Kalkulation</t>
  </si>
  <si>
    <t>vollstationäre Pflegeeinrichtung</t>
  </si>
  <si>
    <t>angebundene Kurzzeitpflege</t>
  </si>
  <si>
    <t>Probe</t>
  </si>
  <si>
    <t>Relation ohne PDL/stellv. PDL</t>
  </si>
  <si>
    <t>Personalumfang</t>
  </si>
  <si>
    <t>proz. Verteilung Personalumfang nach Relation</t>
  </si>
  <si>
    <t>Relation inklusive PDL/stellv. PDL</t>
  </si>
  <si>
    <t xml:space="preserve">  PDL/stellv. PDL:</t>
  </si>
  <si>
    <t>Gesamt:</t>
  </si>
  <si>
    <t>Umrechnung der Personalrelation Pflege vst. exkl. PDL/stellv. PDL für die angebundene KZP Relation Pflege inklusive PDL/stellv. PDL</t>
  </si>
  <si>
    <t>Antrag vom:</t>
  </si>
  <si>
    <t>.</t>
  </si>
  <si>
    <t>Funktionsbereich</t>
  </si>
  <si>
    <t>regional übliches Entgeltniveau</t>
  </si>
  <si>
    <t>gesteigert bis max. 10%</t>
  </si>
  <si>
    <t>inkl. variable pflegetypische Zuschläge</t>
  </si>
  <si>
    <t>zusätzliche Betreuung</t>
  </si>
  <si>
    <t>Einrichtung:</t>
  </si>
  <si>
    <t>PLZ Ort:</t>
  </si>
  <si>
    <t>TP</t>
  </si>
  <si>
    <t>Fachkraftquote Pflege</t>
  </si>
  <si>
    <t>Gesamt Pflege</t>
  </si>
  <si>
    <r>
      <t>Pflege-/Betreuungs</t>
    </r>
    <r>
      <rPr>
        <sz val="11"/>
        <color theme="1"/>
        <rFont val="Arial"/>
        <family val="2"/>
      </rPr>
      <t xml:space="preserve">fachkraft, </t>
    </r>
    <r>
      <rPr>
        <sz val="9"/>
        <color theme="1"/>
        <rFont val="Arial"/>
        <family val="2"/>
      </rPr>
      <t>mind.3 Jahre Berufsausbildung</t>
    </r>
  </si>
  <si>
    <r>
      <t>Pflege-/Betreuungs</t>
    </r>
    <r>
      <rPr>
        <sz val="11"/>
        <color theme="1"/>
        <rFont val="Arial"/>
        <family val="2"/>
      </rPr>
      <t xml:space="preserve">hilfskraft, </t>
    </r>
    <r>
      <rPr>
        <sz val="9"/>
        <color theme="1"/>
        <rFont val="Arial"/>
        <family val="2"/>
      </rPr>
      <t>mind. 1 Jahr Berufsausbildung</t>
    </r>
  </si>
  <si>
    <r>
      <t>Pflege-/Betreuungs</t>
    </r>
    <r>
      <rPr>
        <sz val="11"/>
        <color theme="1"/>
        <rFont val="Arial"/>
        <family val="2"/>
      </rPr>
      <t xml:space="preserve">hilfskraft, </t>
    </r>
    <r>
      <rPr>
        <sz val="9"/>
        <color theme="1"/>
        <rFont val="Arial"/>
        <family val="2"/>
      </rPr>
      <t>ohne mind. 1 Jahr Berufsausbildung</t>
    </r>
  </si>
  <si>
    <t>Trägerdaten</t>
  </si>
  <si>
    <t>Telefon:</t>
  </si>
  <si>
    <t>Fax:</t>
  </si>
  <si>
    <t>E-Mail:</t>
  </si>
  <si>
    <t>Einr.-Art:</t>
  </si>
  <si>
    <t xml:space="preserve">bis: </t>
  </si>
  <si>
    <t>Pflegegrad</t>
  </si>
  <si>
    <t>I</t>
  </si>
  <si>
    <t>II</t>
  </si>
  <si>
    <t>III</t>
  </si>
  <si>
    <t>IV</t>
  </si>
  <si>
    <t>V</t>
  </si>
  <si>
    <t>Personalrelationen außerhalb Pflege</t>
  </si>
  <si>
    <t>sv-freie Zuschläge</t>
  </si>
  <si>
    <t>Pflege</t>
  </si>
  <si>
    <t>zusätzliche Betreung § 43 b SGB XI</t>
  </si>
  <si>
    <t>vst./KZP</t>
  </si>
  <si>
    <t xml:space="preserve"> inkl. SV-Beiträge</t>
  </si>
  <si>
    <t>inkl. PNK</t>
  </si>
  <si>
    <t>Pflegeeinrichtung</t>
  </si>
  <si>
    <t>Fachkraftquote</t>
  </si>
  <si>
    <t>Leitung/Ver-waltung</t>
  </si>
  <si>
    <t>zusätzliche Betreuung § 43b SGB XI</t>
  </si>
  <si>
    <t>Personalrelationen Pflege</t>
  </si>
  <si>
    <t>Personalaufwendungen</t>
  </si>
  <si>
    <t>FSJ/BFD Anzahl Stellen</t>
  </si>
  <si>
    <t>Die Richtigkeit der Angaben wird bestätigt:</t>
  </si>
  <si>
    <t>Pflegesätze</t>
  </si>
  <si>
    <t>Einrichtung</t>
  </si>
  <si>
    <t>Verpflegung</t>
  </si>
  <si>
    <t>Eigenanteil</t>
  </si>
  <si>
    <t>Vergütungszuschläge für</t>
  </si>
  <si>
    <t>Belegung je Pflegegrad</t>
  </si>
  <si>
    <t>Berechnung</t>
  </si>
  <si>
    <t>von:</t>
  </si>
  <si>
    <t xml:space="preserve">Träger der Einrichtung </t>
  </si>
  <si>
    <t>Die Richtigkeit der o.g. Angaben wird bestätigt:</t>
  </si>
  <si>
    <t>IK angebundene KZP:</t>
  </si>
  <si>
    <t>Institutionskennzeichen (IK):</t>
  </si>
  <si>
    <t>Institutionskennzeichen angebundene Kurzzeitpflege:</t>
  </si>
  <si>
    <t xml:space="preserve"> inkl. Zuschlag nach § 32 RV</t>
  </si>
  <si>
    <t>Gesamt Betreuung:</t>
  </si>
  <si>
    <t>Gesamt § 43 b SGB XI:</t>
  </si>
  <si>
    <t>SV-Beiträge</t>
  </si>
  <si>
    <t xml:space="preserve"> (in%)</t>
  </si>
  <si>
    <t>Gesamt</t>
  </si>
  <si>
    <t>AG</t>
  </si>
  <si>
    <t>AN</t>
  </si>
  <si>
    <t>KV</t>
  </si>
  <si>
    <t>RV</t>
  </si>
  <si>
    <t>AV</t>
  </si>
  <si>
    <t>PV* mit Kd.</t>
  </si>
  <si>
    <t>Gesamt *</t>
  </si>
  <si>
    <t>U2</t>
  </si>
  <si>
    <t>100% Erstatt.</t>
  </si>
  <si>
    <t>Gesamt *+U2+Insolvenzgeld</t>
  </si>
  <si>
    <t xml:space="preserve">U1 </t>
  </si>
  <si>
    <t>50% Erstatt.</t>
  </si>
  <si>
    <t>Insolvenzgeld</t>
  </si>
  <si>
    <t>Gesamt *+U1+U2+Insolvenzgeld</t>
  </si>
  <si>
    <t>PK/BK</t>
  </si>
  <si>
    <t>PK/BK o.</t>
  </si>
  <si>
    <t>PFK/BFK</t>
  </si>
  <si>
    <t xml:space="preserve">Entlohnung der Pflege-/Betreuungsmitarbeiter entsprechend der Vorgaben </t>
  </si>
  <si>
    <t>Beschätigungsgruppe</t>
  </si>
  <si>
    <t xml:space="preserve"> mind. 3 Jahre Berufsausbildung</t>
  </si>
  <si>
    <t xml:space="preserve"> mind. 1 Jahr Berufsausbildung</t>
  </si>
  <si>
    <t xml:space="preserve"> mind. ohne 1 Jahr Berufsausbildung</t>
  </si>
  <si>
    <t>fixe, regelm. Entlohnung je VK</t>
  </si>
  <si>
    <t>mtl. Arbeitszeit (40 h/Woche)</t>
  </si>
  <si>
    <t>VK alle Beschäftigungsgruppen</t>
  </si>
  <si>
    <t xml:space="preserve">Anteil je Beschäftigungsgruppe </t>
  </si>
  <si>
    <t>einrichtungsindividuelles Entgeltniveau</t>
  </si>
  <si>
    <t>Gesamtbruttopersonalkosten je Jahr</t>
  </si>
  <si>
    <t>Hilfsspalten</t>
  </si>
  <si>
    <t>Register</t>
  </si>
  <si>
    <t>Pflege - Personalkosten gesamt</t>
  </si>
  <si>
    <t>Betreuung - Personalkosten gesamt.</t>
  </si>
  <si>
    <t>zusätzliche Betreuung - Personalkosten gesamt:</t>
  </si>
  <si>
    <t>Personalkosten gesamt:</t>
  </si>
  <si>
    <t>Personalkosten in €/VK</t>
  </si>
  <si>
    <t xml:space="preserve">arbeitszeitnormierter Std.lohn </t>
  </si>
  <si>
    <t>Ausbildungsbetrieb und/oder Praktikumsbetrieb nach dem Pflegeberufegesetz</t>
  </si>
  <si>
    <t>SPERREN UND AUSBLENDEN</t>
  </si>
  <si>
    <t>letzter Vereinbarungszeitraum:</t>
  </si>
  <si>
    <t>Forderung:</t>
  </si>
  <si>
    <t>Verhandelte Kostenkalkulation der letzten Pflegesatzvereinbarung:</t>
  </si>
  <si>
    <t xml:space="preserve"> &lt;= Ergebnis aus Mappe Berechnung</t>
  </si>
  <si>
    <t>Sachkosten</t>
  </si>
  <si>
    <t>Fremdleistung</t>
  </si>
  <si>
    <t>max</t>
  </si>
  <si>
    <t>Begründungen für:</t>
  </si>
  <si>
    <t xml:space="preserve"> - die veränderte Personalausstattung -</t>
  </si>
  <si>
    <r>
      <t xml:space="preserve"> - Personalkostensteigerungen -</t>
    </r>
    <r>
      <rPr>
        <sz val="8"/>
        <color theme="1"/>
        <rFont val="Arial"/>
        <family val="2"/>
      </rPr>
      <t xml:space="preserve">                                          (nicht für Funktionsbereich Pflege, Betreuung, zusätzliche Betreuung notwendig)</t>
    </r>
  </si>
  <si>
    <t xml:space="preserve"> - Sachkostensteigerungen -</t>
  </si>
  <si>
    <t xml:space="preserve"> - Fremdleistungen -</t>
  </si>
  <si>
    <t xml:space="preserve"> - Beförderung - </t>
  </si>
  <si>
    <t>Steigerungsrate:</t>
  </si>
  <si>
    <t>Beförderung (Preis):</t>
  </si>
  <si>
    <t>Stundenlohn:</t>
  </si>
  <si>
    <t>Jahresbruttostunden</t>
  </si>
  <si>
    <t>40 Std./Wo</t>
  </si>
  <si>
    <t>Jahresbruttolohn:</t>
  </si>
  <si>
    <t>Arbeitgeberanteile:</t>
  </si>
  <si>
    <t>Zwischensumme:</t>
  </si>
  <si>
    <t>sofern keine Zuschläge</t>
  </si>
  <si>
    <t>Zuschläge:</t>
  </si>
  <si>
    <t>sofern keine fest vereinbarten Sonderzahlungen</t>
  </si>
  <si>
    <t>13. Monatsgehalt**:</t>
  </si>
  <si>
    <t>HW</t>
  </si>
  <si>
    <t>Kü</t>
  </si>
  <si>
    <t>HAT</t>
  </si>
  <si>
    <t>mittel</t>
  </si>
  <si>
    <t>inkl. 2% PNK + 2% UR:</t>
  </si>
  <si>
    <t>&lt;</t>
  </si>
  <si>
    <t>max. bis</t>
  </si>
  <si>
    <t xml:space="preserve">Steigerungsraten </t>
  </si>
  <si>
    <t>LuV</t>
  </si>
  <si>
    <r>
      <t xml:space="preserve">*Berechnungsgrundlagen Mindestlohn für LAUFZEIT für Arbeitnehmer, die nicht in der Grundpflege tätig sind, </t>
    </r>
    <r>
      <rPr>
        <b/>
        <sz val="11"/>
        <color rgb="FF0070C0"/>
        <rFont val="Arial"/>
        <family val="2"/>
      </rPr>
      <t>LEITUNG und VERWALTUNG</t>
    </r>
  </si>
  <si>
    <r>
      <t xml:space="preserve">*Berechnungsgrundlagen Mindestlohn für LAUFZEIT für Arbeitnehmer, die nicht in der Grundpflege tätig sind, </t>
    </r>
    <r>
      <rPr>
        <b/>
        <sz val="11"/>
        <color rgb="FF0070C0"/>
        <rFont val="Arial"/>
        <family val="2"/>
      </rPr>
      <t>HAUSWIRTSCHAFT</t>
    </r>
  </si>
  <si>
    <r>
      <t xml:space="preserve">*Berechnungsgrundlagen Mindestlohn für LAUFZEIT für Arbeitnehmer, die nicht in der Grundpflege tätig sind, </t>
    </r>
    <r>
      <rPr>
        <b/>
        <sz val="11"/>
        <color rgb="FF0070C0"/>
        <rFont val="Arial"/>
        <family val="2"/>
      </rPr>
      <t>KÜCHE</t>
    </r>
  </si>
  <si>
    <r>
      <t xml:space="preserve">*Berechnungsgrundlagen Mindestlohn für LAUFZEIT für Arbeitnehmer, die nicht in der Grundpflege tätig sind, </t>
    </r>
    <r>
      <rPr>
        <b/>
        <sz val="11"/>
        <color rgb="FF0070C0"/>
        <rFont val="Arial"/>
        <family val="2"/>
      </rPr>
      <t>HAT</t>
    </r>
  </si>
  <si>
    <t>B1 - Grundsatz:</t>
  </si>
  <si>
    <t xml:space="preserve">    =&gt; sonstige Stellen = pauschale Steigerung der bisher geeinten PK um x%</t>
  </si>
  <si>
    <t xml:space="preserve">    =&gt; für Leitung/Verwaltung, HW, Kü, HAT = pauschale Steigerung der bisher geeinten PK um x% aber mindestens um x% auf den Mindestlohn</t>
  </si>
  <si>
    <t>Die Berechnungen gehen immer von der korrekten Erfassung und der Wiedergabe der geeinten Werte vom Ergebnisblatt aus!</t>
  </si>
  <si>
    <t>Berechnung der progn. PK auf Basis der geeinten PK</t>
  </si>
  <si>
    <t xml:space="preserve">          bisher geeinten Personalkosten        =&gt; </t>
  </si>
  <si>
    <t>pauschale Herleitung der Prognose</t>
  </si>
  <si>
    <t>unter Mindestlohn                     =&gt;</t>
  </si>
  <si>
    <t>Mindestlohn +x %</t>
  </si>
  <si>
    <t>geeint + x%</t>
  </si>
  <si>
    <t>(25.05.2022/Bi)</t>
  </si>
  <si>
    <t>Herleitung der Personalkosten</t>
  </si>
  <si>
    <t xml:space="preserve">    =&gt; für den Bereich Pflege, Betreuung, 43b SGB XI im TAB Berechnung auf Basis des regional üblichen Entgeltes (pauschale Umstellung nach GVWG)</t>
  </si>
  <si>
    <t xml:space="preserve">                         =&gt;</t>
  </si>
  <si>
    <t>unter  Mindestlohn                 =&gt;</t>
  </si>
  <si>
    <t>über Mindestlohn                   =&gt;</t>
  </si>
  <si>
    <t>Die Belegung, die PR für Pflege, Betreuung und sonstige Mitarbeiter, die FKQ Pflege sind für die Prognose veränderbar im Rahmen der Wirtschaftlichkeit und der rahmenvertraglichen Vorgaben. Die restliche Personalausstattung bleibt unverändert. Die Sachkosten, die Fremdleistungen sowie die Beförderungsvergütungen werden auf Basis der geeinten Werte prognostisch um x% gesteigert. Die Personalkosten werden für Mitarbeiter Pflege/Betreuung nach GVWG umgestellt. Die Personalkosten in den Funktionsbereichen LuV, HW, Kü, HAT werden auf Basis der geeinten Personalkosten um x% gesteigert aber mindestens um x% auf den Mindestlohn</t>
  </si>
  <si>
    <t>gehe weiter zu B1_Kalkulation</t>
  </si>
  <si>
    <t>gehe weiter zu B1_Berechnung</t>
  </si>
  <si>
    <t>gehe weiter zu B1_Gesamtkalkulation</t>
  </si>
  <si>
    <t>lt. AG VM 08.06.2022</t>
  </si>
  <si>
    <t>pflegesatzverhandlungen_sachsen@plus.aok.de</t>
  </si>
  <si>
    <t>% Ansatz für sv-freie Zuschläge für:</t>
  </si>
  <si>
    <t>LuV/HW/Kü, HAT - kein Veto in AG VM 08.06.2022</t>
  </si>
  <si>
    <t>Pflege/ Betreuung, zusätzliche Betreuung entspr. PSK Beschluss 19.05.2022</t>
  </si>
  <si>
    <t>kein Veto in AG VM 08.06.2022</t>
  </si>
  <si>
    <t>Wasser/Energie/Brennstoffe</t>
  </si>
  <si>
    <t>Verwaltungs-bedarf</t>
  </si>
  <si>
    <t>Zentrale Verwaltungs-dienste</t>
  </si>
  <si>
    <t>Betreuungsauf-wand</t>
  </si>
  <si>
    <t>Wirtschaftsbe-darf</t>
  </si>
  <si>
    <t>Fremdleistungen</t>
  </si>
  <si>
    <t>Wäsche-kennzeichnung</t>
  </si>
  <si>
    <t xml:space="preserve">Reinigung </t>
  </si>
  <si>
    <t>ERGEBNIS</t>
  </si>
  <si>
    <t>Vereinbarungszeitraum prospektiv:</t>
  </si>
  <si>
    <t>Vereinbarungszeitraum prospektiv</t>
  </si>
  <si>
    <t>Datum der 
Änderung</t>
  </si>
  <si>
    <t>Tabellenblatt</t>
  </si>
  <si>
    <t>Zeile/Spalte</t>
  </si>
  <si>
    <t>Erläuterung der Änderung</t>
  </si>
  <si>
    <t>Hinweise für die Anwender</t>
  </si>
  <si>
    <t xml:space="preserve">Verbindung zur Zelle F16 (Steigerungsrate) hergestellt
($F$16 statt $F$7)
</t>
  </si>
  <si>
    <t>F20</t>
  </si>
  <si>
    <t>Verbindung zur Zelle F16 (Steigerungsrate) gelöst</t>
  </si>
  <si>
    <t>F23, F24, F25</t>
  </si>
  <si>
    <t>Verbindung zur Zelle F22 (Steigerungsrate) hergestellt
$F$22 statt $F$7</t>
  </si>
  <si>
    <t>F26</t>
  </si>
  <si>
    <t>Verbindung zur Zelle F22 (Steigerungsrate) gelöst</t>
  </si>
  <si>
    <t xml:space="preserve">Erläuterung der Änderungen gegenüber der Vorversion (Änderungshistorie ab 21.6.22) </t>
  </si>
  <si>
    <t>B1_Berechnung</t>
  </si>
  <si>
    <t>Die Anpassungen haben keine Auswirkungen auf die Höhe der berechneten Pflegesätze. Jedoch wird mit der Anpassung die Darstellung der zu steigernden Stundenlöhne je Beschäftigungsgruppe in den beiden Segmenten "Betreuung" und "zusätzliche Betreuung" transparent und die statistischen Kennzahlen zur Entlohnung der Beschäftigtengruppen (Zellbereich C34 : E44) korrigiert.</t>
  </si>
  <si>
    <t>F17, F18, F19</t>
  </si>
  <si>
    <t>B1_Hinweise</t>
  </si>
  <si>
    <t>Seite 5</t>
  </si>
  <si>
    <t>Sachkostensteigerung bis 7,5 % möglich</t>
  </si>
  <si>
    <t>in der alten Version war als Höchstgrenze 6,5 % beschrieben</t>
  </si>
  <si>
    <t>Heidestraße 40</t>
  </si>
  <si>
    <t>10557 Berlin</t>
  </si>
  <si>
    <t>€/Tag</t>
  </si>
  <si>
    <t>handelnd für alle Kostenträger (Datum, Unterschrift)</t>
  </si>
  <si>
    <t>reg.En.</t>
  </si>
  <si>
    <t xml:space="preserve">PK/BK </t>
  </si>
  <si>
    <t>Adessverzeichnis</t>
  </si>
  <si>
    <t>Zeile 44/45</t>
  </si>
  <si>
    <t>Anpassung der Anschrift der PKV - aktuell auf: Heidestraße 40, 10557 Berlin</t>
  </si>
  <si>
    <t>Aufnahme bpa Hinweis vom September 2022</t>
  </si>
  <si>
    <t>TAB neu eingefügt</t>
  </si>
  <si>
    <t>TAB soll Historie des Antrages nachvollziehbar darstellen</t>
  </si>
  <si>
    <t>B1_Archiv</t>
  </si>
  <si>
    <t>Hinterlegung der SV-Beiträge und reg. En. von 2022</t>
  </si>
  <si>
    <t>KAT</t>
  </si>
  <si>
    <t>B98</t>
  </si>
  <si>
    <t>Überschrift neu: 2023 anstelle 2022</t>
  </si>
  <si>
    <t>B100</t>
  </si>
  <si>
    <t>KV neu: 16,1%</t>
  </si>
  <si>
    <t>B102</t>
  </si>
  <si>
    <t>AV neu: 2,6%</t>
  </si>
  <si>
    <t>B106</t>
  </si>
  <si>
    <t>U1 neu: 2,15%</t>
  </si>
  <si>
    <t>B107</t>
  </si>
  <si>
    <t>Insolv. neu: 0,06%</t>
  </si>
  <si>
    <t>C100:C102</t>
  </si>
  <si>
    <t>Beitragstragung AG verformelt:                          C100=B100/2; C101=B101/2; C102/2</t>
  </si>
  <si>
    <t>D10;D11D12;D17;D18;D19;D23;D24;D25</t>
  </si>
  <si>
    <r>
      <rPr>
        <u/>
        <sz val="10"/>
        <color theme="1"/>
        <rFont val="Arial"/>
        <family val="2"/>
      </rPr>
      <t>neues reg. En.:</t>
    </r>
    <r>
      <rPr>
        <sz val="10"/>
        <color theme="1"/>
        <rFont val="Arial"/>
        <family val="2"/>
      </rPr>
      <t xml:space="preserve"> PFK/BFK = 21,87 €(D10;D17;D23), PK/BK = 17,41€ (D11;D18;D24), PK/BK o. = 16,48 € (D12;D19;D25)</t>
    </r>
  </si>
  <si>
    <t>neu: 9,1% bisher: 7,5%</t>
  </si>
  <si>
    <t>J107 Ergebnis PSK vom 01.12.2022</t>
  </si>
  <si>
    <t>I107 + J107</t>
  </si>
  <si>
    <t>I7</t>
  </si>
  <si>
    <t>Datenüberprüfung - Anpassung der Eingabemeldung: SV Beitrag ohne U1 Teilnahme = 20,575%, SV-Beitrag mit U1 Teilnahme = 22,725%</t>
  </si>
  <si>
    <t>Zelle H15;J15;L15;N15;P15;R15;T15;V15</t>
  </si>
  <si>
    <t>bisher Tag/€ - korrigiert in €/Tag</t>
  </si>
  <si>
    <t>Korrektur der Überschrift</t>
  </si>
  <si>
    <t>B1_Gesamtkalkulation</t>
  </si>
  <si>
    <t>B1_Kalkulation</t>
  </si>
  <si>
    <t>M36</t>
  </si>
  <si>
    <t xml:space="preserve"> =(WENNFEHLER(L36/B1_Gesamtkalkulation!$N$6;""))</t>
  </si>
  <si>
    <t>M37</t>
  </si>
  <si>
    <t xml:space="preserve"> =(WENNFEHLER(L37/B1_Gesamtkalkulation!$N$6;""))</t>
  </si>
  <si>
    <t xml:space="preserve"> =(WENNFEHLER(L38/B1_Gesamtkalkulation!$N$6;""))</t>
  </si>
  <si>
    <t xml:space="preserve"> =(WENNFEHLER(L39/B1_Gesamtkalkulation!$N$6;""))</t>
  </si>
  <si>
    <t xml:space="preserve"> =(WENNFEHLER(L40/B1_Gesamtkalkulation!$N$6;""))</t>
  </si>
  <si>
    <t xml:space="preserve"> =(WENNFEHLER(L41/B1_Gesamtkalkulation!$N$6;""))</t>
  </si>
  <si>
    <t xml:space="preserve"> =(WENNFEHLER(L42/B1_Gesamtkalkulation!$N$6;""))</t>
  </si>
  <si>
    <t xml:space="preserve"> =(WENNFEHLER(L43/B1_Gesamtkalkulation!$N$6;""))</t>
  </si>
  <si>
    <t xml:space="preserve"> =(WENNFEHLER(L44/B1_Gesamtkalkulation!$N$6;""))</t>
  </si>
  <si>
    <t xml:space="preserve"> =(WENNFEHLER(L45/B1_Gesamtkalkulation!$N$6;""))</t>
  </si>
  <si>
    <t>M38</t>
  </si>
  <si>
    <t>M39</t>
  </si>
  <si>
    <t>M40</t>
  </si>
  <si>
    <t>M41</t>
  </si>
  <si>
    <t>M42</t>
  </si>
  <si>
    <t>M43</t>
  </si>
  <si>
    <t>M44</t>
  </si>
  <si>
    <t>M45</t>
  </si>
  <si>
    <t>M46</t>
  </si>
  <si>
    <t xml:space="preserve"> =Summe(L36:M45)</t>
  </si>
  <si>
    <t>M49</t>
  </si>
  <si>
    <t>M50</t>
  </si>
  <si>
    <t>M51</t>
  </si>
  <si>
    <t>M52</t>
  </si>
  <si>
    <t>M53</t>
  </si>
  <si>
    <t>M54</t>
  </si>
  <si>
    <t>M55</t>
  </si>
  <si>
    <t xml:space="preserve"> =(WENNFEHLER(L49/B1_Gesamtkalkulation!$N$6;""))</t>
  </si>
  <si>
    <t xml:space="preserve"> =(WENNFEHLER(L50/B1_Gesamtkalkulation!$N$6;""))</t>
  </si>
  <si>
    <t xml:space="preserve"> =(WENNFEHLER(L51/B1_Gesamtkalkulation!$N$6;""))</t>
  </si>
  <si>
    <t xml:space="preserve"> =(WENNFEHLER(L52/B1_Gesamtkalkulation!$N$6;""))</t>
  </si>
  <si>
    <t xml:space="preserve"> =(WENNFEHLER(L53/B1_Gesamtkalkulation!$N$6;""))</t>
  </si>
  <si>
    <t xml:space="preserve"> =(WENNFEHLER(L54/B1_Gesamtkalkulation!$N$6;""))</t>
  </si>
  <si>
    <t xml:space="preserve"> =(WENNFEHLER(L55/B1_Gesamtkalkulation!$N$6;""))</t>
  </si>
  <si>
    <t>M56</t>
  </si>
  <si>
    <t xml:space="preserve"> =Summe(L49:M55)</t>
  </si>
  <si>
    <t>M36:M56</t>
  </si>
  <si>
    <t>bedingte Formatierung: 0,00 "€/Tag"</t>
  </si>
  <si>
    <t>M46; M56</t>
  </si>
  <si>
    <t>graue Füllfarbe</t>
  </si>
  <si>
    <t>bedingte Formatierung: wenn "Allgemeine Angaben$D$7 &lt;&gt;"vst", dann Füllfarbe grau + Schrift weiß, ansonsten Wert sichtbar</t>
  </si>
  <si>
    <t>B1_Ergebnis</t>
  </si>
  <si>
    <t>Zeile 51</t>
  </si>
  <si>
    <t>Erfahrung KSV - Leistungserbringer haben oftmals auf Unterschriftenzeile der Leistungsträger unterzeichnet - mit Austausch des Wortes Leistungsträger in Kostenträger soll dies verhindert werden</t>
  </si>
  <si>
    <r>
      <rPr>
        <u/>
        <sz val="10"/>
        <color theme="1"/>
        <rFont val="Arial"/>
        <family val="2"/>
      </rPr>
      <t>neu:</t>
    </r>
    <r>
      <rPr>
        <sz val="10"/>
        <color theme="1"/>
        <rFont val="Arial"/>
        <family val="2"/>
      </rPr>
      <t xml:space="preserve"> handelnd für alle Kostenträger (Datum, Unterschrift)                </t>
    </r>
    <r>
      <rPr>
        <u/>
        <sz val="10"/>
        <color theme="1"/>
        <rFont val="Arial"/>
        <family val="2"/>
      </rPr>
      <t xml:space="preserve">bisher: </t>
    </r>
    <r>
      <rPr>
        <sz val="10"/>
        <color theme="1"/>
        <rFont val="Arial"/>
        <family val="2"/>
      </rPr>
      <t>handelnd für alle Leistungsträger (Datum, Unterschrift)</t>
    </r>
  </si>
  <si>
    <t>B1_Allgemeine Angaben und B1_Hinweise</t>
  </si>
  <si>
    <t>A1</t>
  </si>
  <si>
    <t xml:space="preserve">neue Überschrift: Vereinfachtes Verfahren der Aufforderung zum Abschluss einer Pflegesatzvereinbarung gemäß § 84, 85 SGB XI mit Orientierung auf das regional übliche Entgeltniveau </t>
  </si>
  <si>
    <t>neue Hinweise Stand 8.12.22 und Anpassung Fußzeilen</t>
  </si>
  <si>
    <t>C10; C11; C12; C14</t>
  </si>
  <si>
    <t>Zellen als Zahl mit drei Nachkommastellen formatiert</t>
  </si>
  <si>
    <t>Bereich B34:B44</t>
  </si>
  <si>
    <t>Zellen gesperrt aber nicht mehr ausgeblendet</t>
  </si>
  <si>
    <t>L33</t>
  </si>
  <si>
    <t>Umformatierung auf €/VKstatt €/Stelle</t>
  </si>
  <si>
    <t>H36</t>
  </si>
  <si>
    <t>Formel fehlte, Formel wurde wie folgt eingefügt:=G36/$H$11</t>
  </si>
  <si>
    <t>H17:L17</t>
  </si>
  <si>
    <t>Schreibschutz aufgehoben</t>
  </si>
  <si>
    <t>Gründungsdatum der Pflegeeinrichtung:</t>
  </si>
  <si>
    <t>Auslastungsgrad IST:</t>
  </si>
  <si>
    <t xml:space="preserve">B1_Allgemeine Angaben </t>
  </si>
  <si>
    <t>2 Zeilen nach Zelle 43 eingefügt</t>
  </si>
  <si>
    <t>B44</t>
  </si>
  <si>
    <t>H44</t>
  </si>
  <si>
    <t>Erfassungsfeld für Gründungsdatum</t>
  </si>
  <si>
    <t>B7</t>
  </si>
  <si>
    <t>Belegung der letzten 12 Monate =&gt; Feld bedingt formatiert, Anzeige nur bei KZP, ansonsten grau</t>
  </si>
  <si>
    <t>D7</t>
  </si>
  <si>
    <t>Erfassungsfeld für die Belegungstage der letzten 24 Monate, bedingt formatiert, Anzeige nur bei KZP, ansonsten grau</t>
  </si>
  <si>
    <t>E7</t>
  </si>
  <si>
    <t>Auslastungsgrad IST: Anzeige nur bei KZP, ansonsten grau</t>
  </si>
  <si>
    <t>F7</t>
  </si>
  <si>
    <t>Berechnungsfeld für die Auslastung IST: Formel = =((D7/2/('B1_Allgemeine Angaben'!L46*365))); bedingt formatiert, Anzeige nur bei KZP, ansonsten grau</t>
  </si>
  <si>
    <t>Zellen B7 bis F7</t>
  </si>
  <si>
    <t>bedingte Formatierung korrigiert, sofern keine KZP dann Felder grau mit weißer Farbe, ansonsten Erfassungsfeld gelb, anderen weiß und Farbe schwarz</t>
  </si>
  <si>
    <t>B1_Allgemeine Angaben</t>
  </si>
  <si>
    <t>anstelle: Gründungsdatum der Pflegeeinrichtung: NEU: Zulassungsdatum der Pflegeeinrichtung:</t>
  </si>
  <si>
    <t>gleicher Wortlauf analog Rahmenempfehlung § 88 a SGB XI</t>
  </si>
  <si>
    <t>Zulassungsdatum der Pflegeeinrichtung:</t>
  </si>
  <si>
    <t>B72</t>
  </si>
  <si>
    <t>bisherigen Text entfernen: zusätzliches Personal nach § 8 Abs. 6 SGB XI</t>
  </si>
  <si>
    <t>Kreuzelmöglichkeit mit § 113 c SGB XI hinfällig</t>
  </si>
  <si>
    <t>Angebot gesundheitliche Versorgungsplanung in der letzten Lebensphase (§132g SGB V)</t>
  </si>
  <si>
    <t>B74 =&gt; Inhalt wird in B72 verschoben</t>
  </si>
  <si>
    <t>bisher : 2023   Neu: 2023 (ab 01.07.2023)</t>
  </si>
  <si>
    <t>B103</t>
  </si>
  <si>
    <t>bisher: 3,05%  Neu: 3,40 %</t>
  </si>
  <si>
    <t>C103</t>
  </si>
  <si>
    <t>D103</t>
  </si>
  <si>
    <t>bisher: 1,025% Neu: 1,20%</t>
  </si>
  <si>
    <t>bisher: 2,025% Neu: 2,20%</t>
  </si>
  <si>
    <t>C105</t>
  </si>
  <si>
    <t>bisher: 0,84% NEU: 0,79%</t>
  </si>
  <si>
    <t>NEU: Datenüberprüfung - Anpassung der Eingabemeldung: SV Beitrag ohne U1 Teilnahme = 20,700 %, SV-Beitrag mit U1 Teilnahme = 22,850 %</t>
  </si>
  <si>
    <t>D6</t>
  </si>
  <si>
    <t>Datenüberprüfung - Anpassung der Eingabemeldung: ... mind. 78% bis 100%</t>
  </si>
  <si>
    <t xml:space="preserve"> =&gt; da mindestens 24 M Belegungsangabe</t>
  </si>
  <si>
    <t>B74 + L74</t>
  </si>
  <si>
    <t>Inhalte entfallen</t>
  </si>
  <si>
    <t>PV ab 01.07.2023: 3,400 %, detaillierte Verteilung zw. AN+AG für Sachsen noch unbekannt, Steigerungsbetrag zw. 3,05% und 3,40% wird hälftig zw. AN+AG aufgeteilt =&gt; analog PSK Entwurf für Ausbildungsumlageverfahren</t>
  </si>
  <si>
    <t xml:space="preserve">Datenüberprüfung - Erfassungsmöglichkeit NEU: 78% - 100% </t>
  </si>
  <si>
    <t xml:space="preserve">Datenüberprüfung -Fehlermeldung NEU: 78 - 100 </t>
  </si>
  <si>
    <t xml:space="preserve">  =DATEDIF(H44;H51;"m")</t>
  </si>
  <si>
    <t>Berechnung Differenz zw. Zulassungsbeginn und LZ Beginn neu</t>
  </si>
  <si>
    <t xml:space="preserve"> =WENN(UND(H44="";H51&lt;&gt;"");"Bitte Erfassung Zulassungsdatum";"")</t>
  </si>
  <si>
    <t>K44</t>
  </si>
  <si>
    <t>K45</t>
  </si>
  <si>
    <t>Plausi-Feld sofern Zula-Datum fehlt!</t>
  </si>
  <si>
    <t xml:space="preserve">Datenüberprüfung - Erfassungsmöglichkeit NEU: 73% - 100% </t>
  </si>
  <si>
    <t xml:space="preserve">Datenüberprüfung -Fehlermeldung NEU: 73 - 100 </t>
  </si>
  <si>
    <t>TEXT neu: Belegungstage - letzten</t>
  </si>
  <si>
    <t>C7</t>
  </si>
  <si>
    <t>Formel NEU: =WENN('B1_Allgemeine Angaben'!K44&lt;14,01;10;WENN('B1_Allgemeine Angaben'!K44&lt;26,01;12;24))</t>
  </si>
  <si>
    <t>aufgrd. der Einreichungsfrist für die VH-Aufforderung (6 Wo) kann die KZP zwischen LZ-Beginn und Zulassung =&gt; von bis zu 14 M max. für 10 M Belegungstage =&gt; von 14 M bis 26 M Belegungstage von 12 M liefern und von mehr als 26 M Belegungstage für 24 M liefern</t>
  </si>
  <si>
    <t>benutzerdefiniertes Format  ZAHL "Kalendermonate:"</t>
  </si>
  <si>
    <t xml:space="preserve"> =(D7/('B1_Allgemeine Angaben'!L46*365/12*C7))</t>
  </si>
  <si>
    <t>damit erfolgt eine korrekte Berechnung der Auslastungsquote in Bezug zum Zeitraum der Belegung</t>
  </si>
  <si>
    <t>vereinf. Verfahren nach Vollverhandlung möglich</t>
  </si>
  <si>
    <t>Datenüberprüfung - Anpassung der Eingabemeldung: ... 73% bis 100%</t>
  </si>
  <si>
    <t>Datenübertragung Hinweisfeld: Verweis auf "B1_Hinweise" anstelle bisher "Allgemeine Hinweise"</t>
  </si>
  <si>
    <t>Verweis auf tAB mit korrekter Bezeichnung</t>
  </si>
  <si>
    <t>H53</t>
  </si>
  <si>
    <t>J53</t>
  </si>
  <si>
    <t>L53</t>
  </si>
  <si>
    <t>N53</t>
  </si>
  <si>
    <t>P53</t>
  </si>
  <si>
    <t>R53</t>
  </si>
  <si>
    <t>T53</t>
  </si>
  <si>
    <t>Umsetzung RV § 88 a SGB XI 2023 - PSK Beschluss vom 21.04.2023 i.V.m. PSK Sitzung vom 25.05.2023  // bisherige Ableitung von 90% Auslastung - NEU: Ableitung von 80% Auslastung</t>
  </si>
  <si>
    <t>ALT: Platzzahl der angebundenen Kurzzeitpflegeeinrichtung lt. Versorgungsvertrag</t>
  </si>
  <si>
    <t>B47</t>
  </si>
  <si>
    <t>L47</t>
  </si>
  <si>
    <t>NEU: Platzzahl der angebundenen/ integrierten Kurzzeitpflege  lt. Versorgungsvertrag</t>
  </si>
  <si>
    <t>Datenüberprüfung Eingabemeldung - Überschrift ergänzt ALT: angebundenen KZP  NEU: angebundene/integrierte KZP</t>
  </si>
  <si>
    <t>Datenüberprüfung Fehlermeldung - Überschrift ergänzt ALT: angebundenen KZP  NEU: angebundene/integrierte KZP</t>
  </si>
  <si>
    <t>ALT: geforderte Pflegesätze für die angebundene Kurzzeitpflege (KZP):</t>
  </si>
  <si>
    <t>NEU: geforderte Pflegesätze für die angebundene/ integrierte Kurzzeitpflege (KZP):</t>
  </si>
  <si>
    <t>B62</t>
  </si>
  <si>
    <t>I62</t>
  </si>
  <si>
    <t>B53</t>
  </si>
  <si>
    <t>Aufnahme der integrierten KZP lt. PSK 25.05.2023 (aus Platzmangel tlw. nur KZP geschrieben)</t>
  </si>
  <si>
    <t>ALT: Belegung für angebundene Kurzzeitpflege:</t>
  </si>
  <si>
    <t>B16</t>
  </si>
  <si>
    <t>NEU: Belegung für angebundene/ integrierte KZP:</t>
  </si>
  <si>
    <t>H16</t>
  </si>
  <si>
    <t>B43</t>
  </si>
  <si>
    <t>ALT: angebundene Kurzzeitpflege:</t>
  </si>
  <si>
    <t>NEU: angebundene/ integrierte KZP:</t>
  </si>
  <si>
    <t>NEU: geforderte Pflegesätze für die angebundene/ integrierte KZP:</t>
  </si>
  <si>
    <t>B19</t>
  </si>
  <si>
    <t>Zeile 8</t>
  </si>
  <si>
    <t>neue Zeile eingefügt</t>
  </si>
  <si>
    <t>Form der Kurzzeitpflege:</t>
  </si>
  <si>
    <t>D8</t>
  </si>
  <si>
    <t>H8:K8</t>
  </si>
  <si>
    <t>DropDown-Feld für Erfasssung solitär// angebunden</t>
  </si>
  <si>
    <t>solitär</t>
  </si>
  <si>
    <t>angebunden</t>
  </si>
  <si>
    <t>A10:A11</t>
  </si>
  <si>
    <t>solitär/ angebunden - Liste für DropDown</t>
  </si>
  <si>
    <t>D8:K8</t>
  </si>
  <si>
    <t>bedingt formatiert, Anzeige nur, wenn Einrichtungsart KZP gewählt wurde</t>
  </si>
  <si>
    <t>Plausi_Neu:  =WENN(UND(D7="kzp";H8="");"Bitte Form der Kurzzeitpflege angeben.";"")</t>
  </si>
  <si>
    <t>Für die Bewertung der Auslastung der KZP ist eine Differenzierung in solitär und angebunden notw. Eine zusätzlich Plausiprüfung im TAB B1_Kalkulation ist nicht erforderlich.</t>
  </si>
  <si>
    <t>J9</t>
  </si>
  <si>
    <t>O19</t>
  </si>
  <si>
    <t>Alt: Relationen  angebundene KZP</t>
  </si>
  <si>
    <t>Neu: Relationen  angebundene/ integrierte KZP</t>
  </si>
  <si>
    <t>Neu:=WENN('B1_Allgemeine Angaben'!K45-3&gt;24;24;'B1_Allgemeine Angaben'!K45-3)</t>
  </si>
  <si>
    <t>ALT: =WENN('B1_Allgemeine Angaben'!K44&lt;14,01;10;WENN('B1_Allgemeine Angaben'!K44&lt;26,01;12;24))</t>
  </si>
  <si>
    <t>Abstimmung UAG 12.06.2023 - grds. Angabe der Monatsdifferenz zw. Zulassungsbeginn und PSV-LZ-Beginn minus 3 Monate, aber max. 24 letzten Kalendermonate</t>
  </si>
  <si>
    <t>Platzzahl der angebundenen / integrierten Kurzzeitpflege lt. Versorgungsvertrag</t>
  </si>
  <si>
    <t>gleiche Schreibweise - Freizeichen nach angebunden / vor integegrierte...</t>
  </si>
  <si>
    <t>B48</t>
  </si>
  <si>
    <t>L48</t>
  </si>
  <si>
    <t>Datenübertragung: Eingabe- und Fehlermeldung - gleiche Schreibeweise</t>
  </si>
  <si>
    <t>Belegung für angebundene / integrierte KZP:</t>
  </si>
  <si>
    <t>Relationen  angebundene / integrierte KZP</t>
  </si>
  <si>
    <t>Vergütungszuschlag für angebundene / integrierte KZP:</t>
  </si>
  <si>
    <t>geforderte Pflegesätze für die angebundene / integrierte Kurzzeitpflege (KZP):</t>
  </si>
  <si>
    <t>gleiche Schreibweise .... angebundene / integrierte ....</t>
  </si>
  <si>
    <t>angebundene / integrierte KZP:</t>
  </si>
  <si>
    <t>B24</t>
  </si>
  <si>
    <t>B28</t>
  </si>
  <si>
    <t xml:space="preserve"> ALT: =WENNFEHLER(WENN(B1_Kalkulation!H14&gt;0;B1_Gesamtkalkulation!H47*0,96/0,9;J53*0,78);0) ; </t>
  </si>
  <si>
    <t>ALT: =WENNFEHLER(WENN('B1_Allgemeine Angaben'!$L$47&gt;0;B1_Gesamtkalkulation!L47*0,96/0,9;"");0)</t>
  </si>
  <si>
    <t>ALT: =WENNFEHLER(WENN('B1_Allgemeine Angaben'!$L$47&gt;0;B1_Gesamtkalkulation!N47*0,96/0,9;"");0)</t>
  </si>
  <si>
    <t>ALT: =WENNFEHLER(WENN('B1_Allgemeine Angaben'!$L$47&gt;0;B1_Gesamtkalkulation!P47*0,96/0,9;"");0)</t>
  </si>
  <si>
    <t xml:space="preserve"> ALT: =WENNFEHLER(WENN('B1_Allgemeine Angaben'!$L$47&gt;0;B1_Gesamtkalkulation!R51*0,96/0,9;"");0)</t>
  </si>
  <si>
    <t xml:space="preserve"> ALT: =WENNFEHLER(WENN('B1_Allgemeine Angaben'!$L$47&gt;0;B1_Gesamtkalkulation!T51*0,96/0,9;"");0)</t>
  </si>
  <si>
    <r>
      <t>NEU:  =WENNFEHLER(WENN(B1_Kalkulation!H14&gt;0;B1_Gesamtkalkulation!H47*0,96/</t>
    </r>
    <r>
      <rPr>
        <sz val="10"/>
        <color rgb="FFFF0000"/>
        <rFont val="Arial"/>
        <family val="2"/>
      </rPr>
      <t>0,8</t>
    </r>
    <r>
      <rPr>
        <sz val="10"/>
        <color theme="1"/>
        <rFont val="Arial"/>
        <family val="2"/>
      </rPr>
      <t>;J53*0,78);0)</t>
    </r>
  </si>
  <si>
    <r>
      <t>ALT: =WENNFEHLER(WENN('B1_Allgemeine Angaben'!$L$47&gt;0;B1_Gesamtkalkulation!J47*0,96/</t>
    </r>
    <r>
      <rPr>
        <sz val="10"/>
        <color rgb="FFFF0000"/>
        <rFont val="Arial"/>
        <family val="2"/>
      </rPr>
      <t>0,9</t>
    </r>
    <r>
      <rPr>
        <sz val="10"/>
        <color theme="1"/>
        <rFont val="Arial"/>
        <family val="2"/>
      </rPr>
      <t>;"");0)</t>
    </r>
  </si>
  <si>
    <r>
      <t xml:space="preserve"> NEU: =WENNFEHLER(WENN('B1_Allgemeine Angaben'!$L$47&gt;0;B1_Gesamtkalkulation!J47*0,96/</t>
    </r>
    <r>
      <rPr>
        <sz val="10"/>
        <color rgb="FFFF0000"/>
        <rFont val="Arial"/>
        <family val="2"/>
      </rPr>
      <t>0,8</t>
    </r>
    <r>
      <rPr>
        <sz val="10"/>
        <color theme="1"/>
        <rFont val="Arial"/>
        <family val="2"/>
      </rPr>
      <t>;"");0)</t>
    </r>
  </si>
  <si>
    <r>
      <t xml:space="preserve"> NEU: =WENNFEHLER(WENN('B1_Allgemeine Angaben'!$L$47&gt;0;B1_Gesamtkalkulation!L47*0,96/</t>
    </r>
    <r>
      <rPr>
        <sz val="10"/>
        <color rgb="FFFF0000"/>
        <rFont val="Arial"/>
        <family val="2"/>
      </rPr>
      <t>0,8</t>
    </r>
    <r>
      <rPr>
        <sz val="10"/>
        <color theme="1"/>
        <rFont val="Arial"/>
        <family val="2"/>
      </rPr>
      <t>;"");0)</t>
    </r>
  </si>
  <si>
    <r>
      <t xml:space="preserve"> NEU =WENNFEHLER(WENN('B1_Allgemeine Angaben'!$L$47&gt;0;B1_Gesamtkalkulation!N47*0,96/</t>
    </r>
    <r>
      <rPr>
        <sz val="10"/>
        <color rgb="FFFF0000"/>
        <rFont val="Arial"/>
        <family val="2"/>
      </rPr>
      <t>0,8</t>
    </r>
    <r>
      <rPr>
        <sz val="10"/>
        <color theme="1"/>
        <rFont val="Arial"/>
        <family val="2"/>
      </rPr>
      <t>;"");0)</t>
    </r>
  </si>
  <si>
    <r>
      <t xml:space="preserve"> NEU: =WENNFEHLER(WENN('B1_Allgemeine Angaben'!$L$47&gt;0;B1_Gesamtkalkulation!P47*0,96/</t>
    </r>
    <r>
      <rPr>
        <sz val="10"/>
        <color rgb="FFFF0000"/>
        <rFont val="Arial"/>
        <family val="2"/>
      </rPr>
      <t>0,8</t>
    </r>
    <r>
      <rPr>
        <sz val="10"/>
        <color theme="1"/>
        <rFont val="Arial"/>
        <family val="2"/>
      </rPr>
      <t>;"");0)</t>
    </r>
  </si>
  <si>
    <r>
      <t xml:space="preserve"> NEU: =WENNFEHLER(WENN('B1_Allgemeine Angaben'!$L$47&gt;0;B1_Gesamtkalkulation!R51*0,96/</t>
    </r>
    <r>
      <rPr>
        <sz val="10"/>
        <color rgb="FFFF0000"/>
        <rFont val="Arial"/>
        <family val="2"/>
      </rPr>
      <t>0,8</t>
    </r>
    <r>
      <rPr>
        <sz val="10"/>
        <color theme="1"/>
        <rFont val="Arial"/>
        <family val="2"/>
      </rPr>
      <t>;"");0)</t>
    </r>
  </si>
  <si>
    <r>
      <t xml:space="preserve"> =WENNFEHLER(WENN('B1_Allgemeine Angaben'!$L$47&gt;0;B1_Gesamtkalkulation!T51*0,96/</t>
    </r>
    <r>
      <rPr>
        <sz val="10"/>
        <color rgb="FFFF0000"/>
        <rFont val="Arial"/>
        <family val="2"/>
      </rPr>
      <t>0,8</t>
    </r>
    <r>
      <rPr>
        <sz val="10"/>
        <color theme="1"/>
        <rFont val="Arial"/>
        <family val="2"/>
      </rPr>
      <t>;"");0)</t>
    </r>
  </si>
  <si>
    <t>lt. PSK 25.05.2023 - können auch neu die integrierten KZP eine höhere Vergütung abgeleitet vom Auslastungsgrad 80% erhalten (aus Platzgründen wird anstelle Kurzzeitpflegeeinrichtung jetzt Kurzzeitpflege genutzt)</t>
  </si>
  <si>
    <t>NEU =WENN('B1_Allgemeine Angaben'!L47&gt;0;"errechnete Pflegesätze (Tag je Platz) für angebundene/ integrierte KZP:";"")</t>
  </si>
  <si>
    <t>ALT: =WENN('B1_Allgemeine Angaben'!L47&gt;0;"errechnete Pflegesätze (Tag je Platz) für angebundene Kurzzeitpflege:";"")</t>
  </si>
  <si>
    <t>B1_Allgemeine_Angaben</t>
  </si>
  <si>
    <t>Auswahl nur KZP und TP (siehe Abstimmung 02.08.2023), Text Datenübertragung angepasst</t>
  </si>
  <si>
    <t xml:space="preserve">vorher: </t>
  </si>
  <si>
    <t>Mindestlohn ohne Pflege</t>
  </si>
  <si>
    <t>gelöscht: Platzzahl der angebundenen / integrierten Kurzzeitpflege lt. Versorgungsvertrag</t>
  </si>
  <si>
    <t>I105</t>
  </si>
  <si>
    <t>17,90 € neu (bisher 17,00 €) lt. PSK 02.11.2023 - Höhe Fahrtkosten</t>
  </si>
  <si>
    <t>B98:D98</t>
  </si>
  <si>
    <t>C100</t>
  </si>
  <si>
    <t>8,10% (neu - Prognose für 2024) lt. PSK 02.11.2023</t>
  </si>
  <si>
    <t xml:space="preserve"> 2024 (Prognose) - PSK 02.11.2023</t>
  </si>
  <si>
    <t>Überschrift neu:  2024 (Prognose) - PSK 02.11.2023</t>
  </si>
  <si>
    <t>B112; B124; B136; B148</t>
  </si>
  <si>
    <t>Mindeslohn ab 2024 neu: 12,41 €/h</t>
  </si>
  <si>
    <t>H112:I114</t>
  </si>
  <si>
    <t>Übersicht Mindestlohn eingefügt</t>
  </si>
  <si>
    <t xml:space="preserve">Zeile 6 bis 9 </t>
  </si>
  <si>
    <t xml:space="preserve">eingefügt, damit grds. gleiche Zellenbelegung wie bei C1, nur dass bei B1 keine Tbl. für 113c abgebildet wird </t>
  </si>
  <si>
    <t>B26:C26; B20:C20; B32:C32</t>
  </si>
  <si>
    <t>in B Text: Probe und in C Formel gelöscht, hinfällig durch neue Abbildung der VK je Bereich ohne % Verteilung</t>
  </si>
  <si>
    <t>C16</t>
  </si>
  <si>
    <t>C17</t>
  </si>
  <si>
    <t>Formel neu: =C19-C15-C16</t>
  </si>
  <si>
    <t>C22; C23</t>
  </si>
  <si>
    <t>kein Formel- sondern Erfassungsfeld neu</t>
  </si>
  <si>
    <t>C24</t>
  </si>
  <si>
    <t>Formel neu: =C25-C22-C23</t>
  </si>
  <si>
    <t>C28;C29</t>
  </si>
  <si>
    <t>C30</t>
  </si>
  <si>
    <t>Formel neu: = C31-C28-C29</t>
  </si>
  <si>
    <t>D15:D17; D22:D24;D28:D30</t>
  </si>
  <si>
    <t xml:space="preserve">Werte reg. En. 2024 </t>
  </si>
  <si>
    <t>Spalte E</t>
  </si>
  <si>
    <t>Inhalte von Spalte F in Spalte E verschoben, Wert reg. steigerbar in Spalte E jetzt, bish. Inhalte (% Verteilung der Berufsgruppen je Fkt-Bereich) gelöscht</t>
  </si>
  <si>
    <t xml:space="preserve">E15:E17, </t>
  </si>
  <si>
    <t>E22:E24</t>
  </si>
  <si>
    <t>Formel angepasst - Bezug zu $E$21 (Steigerungswert für FktBereich)</t>
  </si>
  <si>
    <t>E28:E30</t>
  </si>
  <si>
    <t>Formel angepasst - Bezug zu $E$27 (Steigerungswert für FktBereich)</t>
  </si>
  <si>
    <t>E19</t>
  </si>
  <si>
    <t>Formel neu:  =WENN(C17&lt;0;"Fehler";WENNFEHLER(RUNDEN((C15*E15+C16*E16+C17*E17)/C19;2);0))</t>
  </si>
  <si>
    <t xml:space="preserve"> =WENN(C24&lt;0;"Fehler";RUNDEN(WENNFEHLER(((E24*C24+C23*E23+E22*C22)/C25);0);2))</t>
  </si>
  <si>
    <t>E25</t>
  </si>
  <si>
    <t xml:space="preserve"> =WENN(C30&lt;0;"Fehler";RUNDEN(WENNFEHLER(((E30*C30+C29*E29+E28*C28)/C31);0);2))</t>
  </si>
  <si>
    <t>E31</t>
  </si>
  <si>
    <t xml:space="preserve"> =WENN('B1_Allgemeine Angaben'!D7="tst";KAT!C94;KAT!B94)</t>
  </si>
  <si>
    <t>Spalte F</t>
  </si>
  <si>
    <t>Inhalte und Formeln aus Spalte G (variable Zuschläge) in Spalte F verschoben</t>
  </si>
  <si>
    <t>F14</t>
  </si>
  <si>
    <t>F19</t>
  </si>
  <si>
    <t>Formelbezug neu zu $F$14 anstelle $G$14</t>
  </si>
  <si>
    <t xml:space="preserve"> =WENN('B1_Allgemeine Angaben'!D7="tst";KAT!C95;KAT!B95)</t>
  </si>
  <si>
    <t>F21</t>
  </si>
  <si>
    <t>F25</t>
  </si>
  <si>
    <t>Plausi zu B1_Kalkulation und Zelle I27 gelöscht</t>
  </si>
  <si>
    <t xml:space="preserve"> =WENN('B1_Allgemeine Angaben'!D7="tst";KAT!C96;KAT!B96)</t>
  </si>
  <si>
    <t>F27</t>
  </si>
  <si>
    <t>F31</t>
  </si>
  <si>
    <t>Formelbezug neu zu $F$27 anstelle $G$27</t>
  </si>
  <si>
    <t>Formelbezug neu zu $F$214 anstelle $G$21</t>
  </si>
  <si>
    <t>G11</t>
  </si>
  <si>
    <t>Überschrift neu: inkl. Inflationsausgleichsprämie (IAP) für den aktuellen Vereinbarungszeitraum (gesamt je VK)</t>
  </si>
  <si>
    <t>G12</t>
  </si>
  <si>
    <t xml:space="preserve"> =WENNFEHLER(DATEDIF(H52;K52;"m")+1;0)</t>
  </si>
  <si>
    <t>Plausi für IAP</t>
  </si>
  <si>
    <t>G19</t>
  </si>
  <si>
    <t>G14;G21;G27</t>
  </si>
  <si>
    <t>Formel gelöscht, neu formatiert</t>
  </si>
  <si>
    <t>Formel neu:  =WENNFEHLER(WENN(UND(E19="Fehler";'B1_Allgemeine Angaben'!M52="");0;RUNDEN($G$12/'B1_Allgemeine Angaben'!M52*3/13/40;2)+F19);0)</t>
  </si>
  <si>
    <t>G25</t>
  </si>
  <si>
    <t>Formel neu:  =WENNFEHLER(WENN(UND(E25="Fehler";'B1_Allgemeine Angaben'!M52="");0;RUNDEN($G$12/'B1_Allgemeine Angaben'!M52*3/13/40;2)+F25);0)</t>
  </si>
  <si>
    <t>Formel neu: =WENNFEHLER(WENN(UND(E31="Fehler";'B1_Allgemeine Angaben'!M52="");0;RUNDEN($G$12/'B1_Allgemeine Angaben'!M52*3/13/40;2)+F31);0)</t>
  </si>
  <si>
    <t>G31</t>
  </si>
  <si>
    <t>Entgeltniveau inkl. variabler pflegetypischer  Zuschläge + IAP pro Jahr/VK</t>
  </si>
  <si>
    <t>H11:H12</t>
  </si>
  <si>
    <t>Überschrift angepasst um IAP</t>
  </si>
  <si>
    <t>I12</t>
  </si>
  <si>
    <t>Datenübertragung - Text neu 20,850% mit U1 23,00%</t>
  </si>
  <si>
    <t>Formel angepasst: =(E19*40*13/3*12*$I$12)+C180</t>
  </si>
  <si>
    <t>I19</t>
  </si>
  <si>
    <t>Formel angepasst: =(E31*40*13/3*12*$I$12)+H31</t>
  </si>
  <si>
    <t>I25</t>
  </si>
  <si>
    <t>I31</t>
  </si>
  <si>
    <t>C43</t>
  </si>
  <si>
    <t>Formel angepasst =(E25*40*13/3*12*$I$12)+H25</t>
  </si>
  <si>
    <t>Formel wie C1</t>
  </si>
  <si>
    <t>einrichtungsindividuelles Entgeltniveau inkl. IAP</t>
  </si>
  <si>
    <t xml:space="preserve"> =WENNFEHLER(RUNDEN(G12/'B1_Allgemeine Angaben'!M52*3/13/40+C47;2);0)</t>
  </si>
  <si>
    <t>C43:E43</t>
  </si>
  <si>
    <t>Abbildung einr. ind. En. +IAP</t>
  </si>
  <si>
    <t xml:space="preserve"> =WENN(C48&gt;20,14*110%;"Forderung liegt über 10% des regional üblichen Entgeltes.";"")</t>
  </si>
  <si>
    <t>F48</t>
  </si>
  <si>
    <t>Formel angepasst - Bezug zu $E$14  (Steigerungswert für FktBereich) + Spalte D Werte vom reg. En. je Berufsgruppe</t>
  </si>
  <si>
    <t>O15</t>
  </si>
  <si>
    <t xml:space="preserve"> Formel inkl. IAP =((E15*(100%+F14)+G12/'B1_Allgemeine Angaben'!M52*3/13/40)+(E15*$I$12))*(100%+$J$12)*(100%+$K$12)*40*13/3*12*C15</t>
  </si>
  <si>
    <t xml:space="preserve"> Formel inkl. IAP=((E22*(100%+F21)+G12/'B1_Allgemeine Angaben'!M52*3/13/40)+(E22*$I$12))*(100%+$J$12)*(100%+$K$12)*40*13/3*12*C22</t>
  </si>
  <si>
    <t>O16</t>
  </si>
  <si>
    <t>O17</t>
  </si>
  <si>
    <t xml:space="preserve"> =((E16*(100%+f14)+g12/'B1_Allgemeine Angaben'!m52*3/13/40)+(E16*$I$12))*(100%+$J$12)*(100%+$K$12)*40*13/3*12*C16</t>
  </si>
  <si>
    <t>P15</t>
  </si>
  <si>
    <t>P16</t>
  </si>
  <si>
    <t xml:space="preserve"> =((E17*(100%+F14)+G12/'B1_Allgemeine Angaben'!M52*3/13/40)+(E17*$I$12))*(100%+$J$12)*(100%+$K$12)*40*13/3*12*C17</t>
  </si>
  <si>
    <t xml:space="preserve"> =((E30*(100%+F27)+G12/'B1_Allgemeine Angaben'!M52*3/13/40)+(E30*$I$12))*(100%+$J$12)*(100%+$K$12)*40*13/3*12*C30</t>
  </si>
  <si>
    <t xml:space="preserve"> =((E23*(100%+f21)+g12/'B1_Allgemeine Angaben'!m52*3/13/40)+(E23*$I$12))*(100%+$J$12)*(100%+$K$12)*40*13/3*12*C23</t>
  </si>
  <si>
    <t xml:space="preserve"> =((E29*(100%+f27)+g12/'B1_Allgemeine Angaben'!m52*3/13/40)+(E29*$I$12))*(100%+$J$12)*(100%+$K$12)*40*13/3*12*C29</t>
  </si>
  <si>
    <t xml:space="preserve"> =((E24*(100%+F21)+G12/'B1_Allgemeine Angaben'!M52*3/13/40)+(E24*$I$12))*(100%+$J$12)*(100%+$K$12)*40*13/3*12*C24</t>
  </si>
  <si>
    <t>Q15</t>
  </si>
  <si>
    <t>P17</t>
  </si>
  <si>
    <t>Q16</t>
  </si>
  <si>
    <t>Q17</t>
  </si>
  <si>
    <t xml:space="preserve"> Formel inkl. IAP: =((E28*(100%+F27)+G12/'B1_Allgemeine Angaben'!M52*3/13/40)+(E28*$I$12))*(100%+$J$12)*(100%+$K$12)*40*13/3*12*C28</t>
  </si>
  <si>
    <t>H53:V53</t>
  </si>
  <si>
    <t>Berechnungen für angebundene KZP bleibt - sofern B1 auch mal wieder für vst. geöffnet werden sollte</t>
  </si>
  <si>
    <t>P10</t>
  </si>
  <si>
    <t xml:space="preserve"> =WENN(G12=0;1;2)</t>
  </si>
  <si>
    <t>Plausi für Text im TAB B1_Ergebnis</t>
  </si>
  <si>
    <t>B47:K48</t>
  </si>
  <si>
    <t>bedingte Formatierung - sofern IAP Zahlung dann ergänzenden Text, anaonsten leer</t>
  </si>
  <si>
    <t xml:space="preserve"> =WENN(H52&lt;DATWERT("01.01.2025");1;2)</t>
  </si>
  <si>
    <t>Plausi für IAP - keine Berücksichtigung für LZ ab 01.01.2025</t>
  </si>
  <si>
    <t>Erfassungsfeld - nur für LZ Beginn bis 31.12.2024, benutzerdefinierte Formatierung €/VK -</t>
  </si>
  <si>
    <t>Abbildung Gesamt-PK inkl. IAP</t>
  </si>
  <si>
    <t>durch Verschiebung von Spalten nach links - Anpassung Formel notw.</t>
  </si>
  <si>
    <t>reg. En.</t>
  </si>
  <si>
    <t>C15:D19</t>
  </si>
  <si>
    <t xml:space="preserve">Werte reg, En. 2023 + 2024 </t>
  </si>
  <si>
    <t>2023 (ab 01.07.2023</t>
  </si>
  <si>
    <t>Bereich Pflegepartner</t>
  </si>
  <si>
    <t>Fachbereich Vertragsmanagement Pflege / HKP</t>
  </si>
  <si>
    <t>Team Verhandlung Pflege / HKP</t>
  </si>
  <si>
    <t>B1_Adressverzeichnis</t>
  </si>
  <si>
    <t>AOK PLUS Bezeichnung neu</t>
  </si>
  <si>
    <t xml:space="preserve"> =WENNFEHLER(((E22*C22+E28*C28+C15*E15)*40*13/3)/SUMME(C15;C22;C28);0)</t>
  </si>
  <si>
    <t xml:space="preserve"> =WENNFEHLER(((E23*C23+E29*C29+E16*C16)*40*13/3)/SUMME(C16;C23;C29);0)</t>
  </si>
  <si>
    <t xml:space="preserve"> =WENNFEHLER(((C17*E17+E24*C24+E30*C30)*40*13/3)/SUMME(C17;C24;C30);0)</t>
  </si>
  <si>
    <t>C39</t>
  </si>
  <si>
    <t>D39</t>
  </si>
  <si>
    <t>E39</t>
  </si>
  <si>
    <t>Die Auszahlung der Inflationsausgleichsprämie an die Arbeitnehmer erfolgt bis zum 31.12.2024.</t>
  </si>
  <si>
    <t>Forderung</t>
  </si>
  <si>
    <t>H8</t>
  </si>
  <si>
    <t>H10</t>
  </si>
  <si>
    <t>inkl. Inflationsausgleichsprämie (IAP) für den aktuellen Vereinbarungszeitraum - AUSZAHLUNG bis 31.12.2024 (gesamt je VK)</t>
  </si>
  <si>
    <t>Überschrift konkretisiert statt Zahlung = Auszahlung</t>
  </si>
  <si>
    <t xml:space="preserve"> =WENN($E19="Fehler";0;WENN('B1_Allgemeine Angaben'!$M$53=2;$F19;B1_Berechnung!$G$12/'B1_Allgemeine Angaben'!$M$52*3/13/40+B1_Berechnung!$F19))</t>
  </si>
  <si>
    <t xml:space="preserve"> =WENN($E25="Fehler";0;WENN('B1_Allgemeine Angaben'!$M$53=2;$F25;B1_Berechnung!$G$12/'B1_Allgemeine Angaben'!$M$52*3/13/40+B1_Berechnung!$F25))</t>
  </si>
  <si>
    <t xml:space="preserve"> =WENN($E31="Fehler";0;WENN('B1_Allgemeine Angaben'!$M$53=2;$F31;B1_Berechnung!$G$12/'B1_Allgemeine Angaben'!$M$52*3/13/40+B1_Berechnung!$F31))</t>
  </si>
  <si>
    <t>Sofern LE keine IAP zahlen kann, rechnet der Antrag mit Werten ohne IAP</t>
  </si>
  <si>
    <t xml:space="preserve"> =WENN(ODER(G12=0;'B1_Allgemeine Angaben'!M53=2);1;2)</t>
  </si>
  <si>
    <t>Anpassung Plausi-Formel - nur wenn wirkl IAP berücksichtigt wird, erscheint dann der Text im Ergebnis B1</t>
  </si>
  <si>
    <t>Belegungstage - letzte</t>
  </si>
  <si>
    <t>B1_Berechung</t>
  </si>
  <si>
    <t>Belegungstage - letzte    ("n" aus Wort letzte wurde gelöscht)</t>
  </si>
  <si>
    <t>Plausi Hinweis über 10% reg. Entg.</t>
  </si>
  <si>
    <t>sofern in Zelle C17 negative VK-Werte errechnet werden, weil der LE eine höhere VK Zahl als geeint in C16 eingibt, würde in Zelle E19 grds. mit Minuswerten weitergerechnet werden, deshalb Ergänzung eines Plausichecks</t>
  </si>
  <si>
    <t>sofern in Zelle C24 negative VK-Werte errechnet werden, weil der LE eine höhere VK Zahl als geeint in C22 u/o. C23 eingibt, würde in Zelle E25 grds. mit Minuswerten weitergerechnet werden, deshalb Ergänzung eines Plausichecks</t>
  </si>
  <si>
    <t>sofern in Zelle C30 negative VK-Werte errechnet werden, weil der LE eine höhere VK Zahl als geeint in C28 u/o. C29 eingibt, würde in Zelle E30 grds. mit Minuswerten weitergerechnet werden, deshalb Ergänzung eines Plausichecks</t>
  </si>
  <si>
    <t>Laufzeit</t>
  </si>
  <si>
    <t>Dropdown + Datenüberprüfung Erfassung, Fehlerhinweis + Hinweistext deaktiviert + Formatierung alles weiß</t>
  </si>
  <si>
    <t>Einrichtungsformen -Steigerung PK</t>
  </si>
  <si>
    <t>Einrichtungsformen - sv-freie Zuschläge</t>
  </si>
  <si>
    <t>Vereinfachtes Verfahren der Aufforderung zum Abschluss einer Pflegesatzvereinbarung gemäß § 84, 85 SGB XI mit Orientierung auf das regional übliche Entgeltniveau (Stand 31.10.2024)</t>
  </si>
  <si>
    <t>(Stand 31.10.2024)</t>
  </si>
  <si>
    <t>A5</t>
  </si>
  <si>
    <t>Datum 12.11.2024</t>
  </si>
  <si>
    <t xml:space="preserve"> 2025 (Prognose) - PSK 07.11.2023+Info BMG 11.11.2024 zur PV</t>
  </si>
  <si>
    <t>B1_Kat</t>
  </si>
  <si>
    <t>2025 (Prognose) - PSK 07.11.2023+Info BMG 11.11.2024 zur PV</t>
  </si>
  <si>
    <t>B100,C100</t>
  </si>
  <si>
    <t>17,2%, 8,6%</t>
  </si>
  <si>
    <t>B103;C103</t>
  </si>
  <si>
    <t>3,6%, 1,3%</t>
  </si>
  <si>
    <t>Text DropDown angepasst SV 21,200%; 23,350% mit U1</t>
  </si>
  <si>
    <t>B112;B124;B136;B147</t>
  </si>
  <si>
    <t>Mindestlohn ab 01.01.2025, 12,82 €/h</t>
  </si>
  <si>
    <t>Ergebnis PSK 07.11.2024</t>
  </si>
  <si>
    <t>Ergebnis PSK 07.11.2025</t>
  </si>
  <si>
    <t>Ergebnis PSK 07.11.2026</t>
  </si>
  <si>
    <t>F107:I108</t>
  </si>
  <si>
    <t>Angaben zu % für SK + FL Steigerung verschoben von bisher F106:I107 in F107:I108; neu SK 3,5%; neu FL 5%</t>
  </si>
  <si>
    <t>M35</t>
  </si>
  <si>
    <t>Datenüberprüfung: M35&lt;Kat!I107+0,001%, Fehlermeldung: Forderung liegt über max. Steigerungsrate (3,50%).</t>
  </si>
  <si>
    <t>M48</t>
  </si>
  <si>
    <t>Datenüberprüfung: M48&lt;Kat!I108+0,001%, Fehlermeldung: Forderung liegt über max. Steigerungsrate (5,00%).</t>
  </si>
  <si>
    <t>Beförderung intern (Preis):</t>
  </si>
  <si>
    <t>Beförderung extern (Preis):</t>
  </si>
  <si>
    <t>K19</t>
  </si>
  <si>
    <t>DropDown: =KAT!$F$105:$F$106</t>
  </si>
  <si>
    <t>F105</t>
  </si>
  <si>
    <t>F106</t>
  </si>
  <si>
    <t>I106</t>
  </si>
  <si>
    <t>Beförderung intern (Preis): = 1</t>
  </si>
  <si>
    <t>Beförderung extern (Preis): = 2</t>
  </si>
  <si>
    <t>Prüf-KZ</t>
  </si>
  <si>
    <t>Steig. lt. Forderung</t>
  </si>
  <si>
    <t>Begrenzung Ford. auf Max</t>
  </si>
  <si>
    <t>Ergebnis - wenn KZ=1, dann max. 18,5 €, wenn KZ = 2, dann max. 21 €</t>
  </si>
  <si>
    <t>Erläuterung:</t>
  </si>
  <si>
    <t>Formel: =WENN(B1_Kalkulation!M19&lt;&gt;0;KAT!O103;"")</t>
  </si>
  <si>
    <t>L19</t>
  </si>
  <si>
    <t>L20</t>
  </si>
  <si>
    <t>Text für Plausifeld B1_Kalk in L20</t>
  </si>
  <si>
    <t>Berechnungsfeld für Fahrtkostensteigerung in B1_Kalkulation K19 + Plausifeld L20</t>
  </si>
  <si>
    <t>Ford. &gt; als Max.Wert</t>
  </si>
  <si>
    <t>Beförderung bis max. 21,00 € vereinbar.</t>
  </si>
  <si>
    <t>Beförderung bis max. 18,50 € vereinbar.</t>
  </si>
  <si>
    <t>M99:T104</t>
  </si>
  <si>
    <t>Hilfstabelle für Plausifeld in TAB B1_KalkL19 und Berechnung der Beförderungskosten mit gleichzeitiger Begrenzung auf die jerweiligen Höchstwerte für interne und externe Beförderung im TAB B1_Kalkulation</t>
  </si>
  <si>
    <t xml:space="preserve"> Formel: =WENN(M19&lt;&gt;0;KAT!Q103;"")</t>
  </si>
  <si>
    <t>D15;D22;D28</t>
  </si>
  <si>
    <t>D16;D23;D29</t>
  </si>
  <si>
    <t>D17;D24;D30</t>
  </si>
  <si>
    <t xml:space="preserve"> =WENN(C48&gt;21,55*110%;"Forderung liegt über 10% des regional üblichen Entgeltes.";"")</t>
  </si>
  <si>
    <t xml:space="preserve"> </t>
  </si>
  <si>
    <t>Entgeltniveau inkl. variabler pflegetypischer Zuschläge pro Jahr/VK</t>
  </si>
  <si>
    <t>Spalte für IAP</t>
  </si>
  <si>
    <t>gelöscht</t>
  </si>
  <si>
    <t>SpalteG</t>
  </si>
  <si>
    <t>Abb. Entgeltniveau inkl. variabler pflegetypischer Zuschläge pro Jahr/VK</t>
  </si>
  <si>
    <t xml:space="preserve"> =RUNDEN(WENNFEHLER(F19*40*13/3*12;0);2)</t>
  </si>
  <si>
    <t xml:space="preserve"> =RUNDEN(WENNFEHLER(F25*40*13/3*12;0);2)</t>
  </si>
  <si>
    <t xml:space="preserve"> =RUNDEN(WENNFEHLER(F31*40*13/3*12;0);2)</t>
  </si>
  <si>
    <t xml:space="preserve"> =(E19*40*13/3*12*$H$12)+G19</t>
  </si>
  <si>
    <t>H19</t>
  </si>
  <si>
    <t>H25</t>
  </si>
  <si>
    <t>H31</t>
  </si>
  <si>
    <t xml:space="preserve"> =(E25*40*13/3*12*$H$12)+G25</t>
  </si>
  <si>
    <t xml:space="preserve"> =(E31*40*13/3*12*$H$12)+G31</t>
  </si>
  <si>
    <t>N15:S18</t>
  </si>
  <si>
    <t xml:space="preserve"> Formeln von Hilfstabelle zur Berechnung der Gesamtpersonalkosten je Berufsgruppe angepasst wg. Wegfall der Inflationsausgangepasst - Bsp. in Zelle N15 = =(RUNDEN(E15*(100%+F14);2)+(E15*$H$12))*(100%+$I$12)*(100%+$J$12)*40*13/3*12*C15</t>
  </si>
  <si>
    <t xml:space="preserve"> =WENN(KAT!E290=1;"Fahrtkosten - Beförderung intern";"Fahrtkosten - Beförderung extern")</t>
  </si>
  <si>
    <t>L59</t>
  </si>
  <si>
    <t>verguetung-pflege.sac@vdek.com</t>
  </si>
  <si>
    <t>BARMER</t>
  </si>
  <si>
    <t>Landesvertretung Sachsen</t>
  </si>
  <si>
    <t>Postfach 12 03 65</t>
  </si>
  <si>
    <t>01004 Dresden</t>
  </si>
  <si>
    <t>Mitglieder:</t>
  </si>
  <si>
    <t>Techniker Krankenkasse</t>
  </si>
  <si>
    <t>peter.hoeher@barmer.de</t>
  </si>
  <si>
    <t>andre.kaden@barmer.de</t>
  </si>
  <si>
    <t>alexander.bretschneider@barmer.de</t>
  </si>
  <si>
    <t xml:space="preserve">Adressverzeichnis </t>
  </si>
  <si>
    <t>angepasst analog vst. Antrag</t>
  </si>
  <si>
    <t>F48 Formel in F47</t>
  </si>
  <si>
    <t>ohne Inhalte</t>
  </si>
  <si>
    <t>B48:F48</t>
  </si>
  <si>
    <t>H52</t>
  </si>
  <si>
    <t>Laufzeitbeginn ab 01.01.2025 möglich, Text Dateneingabe angepasst</t>
  </si>
  <si>
    <t>J13;N13;P13;L13</t>
  </si>
  <si>
    <t>Leistungsbeträge 2025 (nur redaktionell, da B1 nur für TP + KZP gilt)</t>
  </si>
  <si>
    <t>Zeile 48</t>
  </si>
  <si>
    <t>Inahlte zur Berechnung und Abb. des reg. En. inkl. IAP entfernt</t>
  </si>
  <si>
    <t>F47</t>
  </si>
  <si>
    <t>Plausi-feld: Hinweis Ford. über 10% des reg. En. von F48 in F47 verschoben</t>
  </si>
  <si>
    <t>Bitte auswählen.</t>
  </si>
  <si>
    <t>Datenüberprüfung angepasst KAT!F105:F107</t>
  </si>
  <si>
    <t>F107</t>
  </si>
  <si>
    <t>Text: Bitte auswählen</t>
  </si>
  <si>
    <t>F108:J109</t>
  </si>
  <si>
    <t>Angaben zu % für SK + FL Steigerung verschoben von bisher F107:I108 nach F108:J109</t>
  </si>
  <si>
    <t>Formel angepasst: =WENN(M103=1;O101;WENN(M103=2;O102;""))</t>
  </si>
  <si>
    <t>o103</t>
  </si>
  <si>
    <t>B1_KaT</t>
  </si>
  <si>
    <t xml:space="preserve"> Formel angepasst: =KAT!O103</t>
  </si>
  <si>
    <t>Version vom 21.11.2024 eingefügt</t>
  </si>
  <si>
    <t>bis 2024</t>
  </si>
  <si>
    <t xml:space="preserve">Entscheidung UAG und Kostenträger 21.11.2024 (Pflege,Betreuung,43b, HW,Kü;HAT) für vst./KZP - LuV bleibt - bei TP bleiben alle Werte </t>
  </si>
  <si>
    <t>ab 2025</t>
  </si>
  <si>
    <t>B94:B96;E94:E96</t>
  </si>
  <si>
    <t>% für sv-freie zuschläge für vst./KZP angepasst entspr. Abstimmung UAG mit Kostenträgern vom 21.11.2024</t>
  </si>
  <si>
    <t>STD_VG_PFK</t>
  </si>
  <si>
    <t>STD_VH_PHK_mit ausbildung</t>
  </si>
  <si>
    <t>STD_VG_PHK_ohne Ausbildung</t>
  </si>
  <si>
    <t>STD_VG_einr. ind. Egniveau</t>
  </si>
  <si>
    <t>VK_PFK</t>
  </si>
  <si>
    <t>VK_PHK_mit ausbildung</t>
  </si>
  <si>
    <t>VK_PHK_ohne Ausbildung</t>
  </si>
  <si>
    <t>GES_VG_PFK</t>
  </si>
  <si>
    <t>GES_VG_PHK_mit Ausbildung</t>
  </si>
  <si>
    <t>GES_VG_PHK_ohne Ausbildung</t>
  </si>
  <si>
    <t>N48:W49</t>
  </si>
  <si>
    <t>Hilfstabelle für Erfassung Betriebsvergleich eingefügt</t>
  </si>
  <si>
    <t xml:space="preserve">Hinweisfelder hervorheben </t>
  </si>
  <si>
    <t>Felder mit Hinweisen und Fehlermeldungen werden blau (="ja") bzw. weiß (="nein") hinterlegt</t>
  </si>
  <si>
    <t>H41:H42</t>
  </si>
  <si>
    <t>H42 bedingte Formatierung angepasst, H41:H42 zeigt nur dann den EEE an, sofern es eine vst. E. ist (B1_Allgemeine Angaben "vst")</t>
  </si>
  <si>
    <t>korrigierte Version 25.11.2024 eingefügt</t>
  </si>
  <si>
    <t>Fußzeilen</t>
  </si>
  <si>
    <t>Datum 25.11.2024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</si>
</sst>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6" formatCode="#,##0\ &quot;€&quot;;[Red]\-#,##0\ &quot;€&quot;"/>
    <numFmt numFmtId="8" formatCode="#,##0.00\ &quot;€&quot;;[Red]\-#,##0.00\ &quot;€&quot;"/>
    <numFmt numFmtId="44" formatCode="_-* #,##0.00\ &quot;€&quot;_-;\-* #,##0.00\ &quot;€&quot;_-;_-* &quot;-&quot;??\ &quot;€&quot;_-;_-@_-"/>
    <numFmt numFmtId="164" formatCode="#,##0.00\ &quot;€&quot;"/>
    <numFmt numFmtId="165" formatCode="0.000"/>
    <numFmt numFmtId="166" formatCode="#,##0.00\ _€"/>
    <numFmt numFmtId="167" formatCode="0\ &quot;%&quot;"/>
    <numFmt numFmtId="168" formatCode="#,##0.000\ &quot;€&quot;"/>
    <numFmt numFmtId="169" formatCode="#,##0.0000"/>
    <numFmt numFmtId="170" formatCode="_-* #,##0\ [$€-407]_-;\-* #,##0\ [$€-407]_-;_-* &quot;-&quot;??\ [$€-407]_-;_-@_-"/>
    <numFmt numFmtId="171" formatCode="0.0\ %"/>
    <numFmt numFmtId="172" formatCode="#,##0.000"/>
    <numFmt numFmtId="173" formatCode="&quot;1 :&quot;\ 0.00"/>
    <numFmt numFmtId="174" formatCode="\ 0\ &quot;Stelle/n&quot;"/>
    <numFmt numFmtId="175" formatCode="#,##0.00\ &quot;€&quot;&quot;/VK&quot;"/>
    <numFmt numFmtId="176" formatCode="#,##0.00\ &quot;€&quot;&quot;/Stelle&quot;"/>
    <numFmt numFmtId="177" formatCode="#,##0.000\ &quot;VK&quot;"/>
    <numFmt numFmtId="178" formatCode="#,###"/>
    <numFmt numFmtId="179" formatCode="0.000\ &quot;VK&quot;"/>
    <numFmt numFmtId="180" formatCode="dd/mm/yy;@"/>
    <numFmt numFmtId="181" formatCode="0.000%"/>
    <numFmt numFmtId="182" formatCode="&quot;1 : &quot;0.00"/>
    <numFmt numFmtId="183" formatCode="&quot;Einrichtung:&quot;\ 0"/>
    <numFmt numFmtId="184" formatCode="_-* #,##0.00\ _€_-;\-* #,##0.00\ _€_-;_-* &quot;-&quot;??\ _€_-;_-@_-"/>
    <numFmt numFmtId="185" formatCode="_-* #,##0.000\ &quot;€&quot;_-;\-* #,##0.000\ &quot;€&quot;_-;_-* &quot;-&quot;???\ &quot;€&quot;_-;_-@_-"/>
    <numFmt numFmtId="186" formatCode="_-\ #,##0.00\ &quot;€/VK&quot;"/>
    <numFmt numFmtId="187" formatCode="0.000%&quot;*&quot;"/>
    <numFmt numFmtId="188" formatCode="0.0%"/>
    <numFmt numFmtId="189" formatCode="&quot;rund&quot;\ #,##0.00\ &quot;€&quot;"/>
    <numFmt numFmtId="190" formatCode="0.00\ &quot;€/Tag&quot;"/>
    <numFmt numFmtId="191" formatCode="0&quot;%&quot;"/>
    <numFmt numFmtId="192" formatCode="0\ &quot;Kalendermonate:&quot;"/>
    <numFmt numFmtId="193" formatCode="_-* #,##0.00\ &quot;€&quot;_-;\-* #,##0.00\ &quot;€&quot;_-;_-* &quot;-&quot;???\ &quot;€&quot;_-;_-@_-"/>
  </numFmts>
  <fonts count="155" x14ac:knownFonts="1">
    <font>
      <sz val="11"/>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sz val="11"/>
      <color rgb="FFFF0000"/>
      <name val="Arial"/>
      <family val="2"/>
    </font>
    <font>
      <b/>
      <sz val="11"/>
      <color theme="1"/>
      <name val="Arial"/>
      <family val="2"/>
    </font>
    <font>
      <b/>
      <sz val="11"/>
      <name val="Arial"/>
      <family val="2"/>
    </font>
    <font>
      <sz val="11"/>
      <name val="Arial"/>
      <family val="2"/>
    </font>
    <font>
      <b/>
      <sz val="10"/>
      <color theme="1"/>
      <name val="Arial"/>
      <family val="2"/>
    </font>
    <font>
      <b/>
      <sz val="10"/>
      <name val="Arial"/>
      <family val="2"/>
    </font>
    <font>
      <sz val="8"/>
      <color rgb="FFFF0000"/>
      <name val="Arial"/>
      <family val="2"/>
    </font>
    <font>
      <sz val="8"/>
      <color theme="0"/>
      <name val="Arial"/>
      <family val="2"/>
    </font>
    <font>
      <sz val="11"/>
      <color theme="3" tint="-0.249977111117893"/>
      <name val="Arial"/>
      <family val="2"/>
    </font>
    <font>
      <sz val="10"/>
      <color rgb="FFFF0000"/>
      <name val="Arial"/>
      <family val="2"/>
    </font>
    <font>
      <sz val="10"/>
      <name val="Arial"/>
      <family val="2"/>
    </font>
    <font>
      <sz val="8"/>
      <name val="Arial"/>
      <family val="2"/>
    </font>
    <font>
      <u/>
      <sz val="10"/>
      <color indexed="12"/>
      <name val="Arial"/>
      <family val="2"/>
    </font>
    <font>
      <sz val="11"/>
      <color theme="5" tint="-0.499984740745262"/>
      <name val="Arial"/>
      <family val="2"/>
    </font>
    <font>
      <sz val="10"/>
      <color rgb="FF0070C0"/>
      <name val="Arial"/>
      <family val="2"/>
    </font>
    <font>
      <b/>
      <sz val="10"/>
      <color rgb="FFFF0000"/>
      <name val="Arial"/>
      <family val="2"/>
    </font>
    <font>
      <sz val="11"/>
      <color rgb="FF7030A0"/>
      <name val="Arial"/>
      <family val="2"/>
    </font>
    <font>
      <sz val="11"/>
      <color theme="9" tint="-0.499984740745262"/>
      <name val="Arial"/>
      <family val="2"/>
    </font>
    <font>
      <sz val="10"/>
      <color rgb="FF7030A0"/>
      <name val="Arial"/>
      <family val="2"/>
    </font>
    <font>
      <sz val="10"/>
      <color theme="3" tint="-0.249977111117893"/>
      <name val="Arial"/>
      <family val="2"/>
    </font>
    <font>
      <sz val="11"/>
      <color rgb="FF0070C0"/>
      <name val="Arial"/>
      <family val="2"/>
    </font>
    <font>
      <sz val="8"/>
      <color theme="1"/>
      <name val="Arial"/>
      <family val="2"/>
    </font>
    <font>
      <sz val="11"/>
      <color rgb="FFC00000"/>
      <name val="Arial"/>
      <family val="2"/>
    </font>
    <font>
      <b/>
      <sz val="12"/>
      <name val="Arial"/>
      <family val="2"/>
    </font>
    <font>
      <sz val="9"/>
      <name val="Arial"/>
      <family val="2"/>
    </font>
    <font>
      <b/>
      <sz val="10"/>
      <color rgb="FF0070C0"/>
      <name val="Arial"/>
      <family val="2"/>
    </font>
    <font>
      <b/>
      <sz val="10"/>
      <color theme="3" tint="-0.249977111117893"/>
      <name val="Arial"/>
      <family val="2"/>
    </font>
    <font>
      <sz val="11"/>
      <color rgb="FF92D050"/>
      <name val="Arial"/>
      <family val="2"/>
    </font>
    <font>
      <sz val="9"/>
      <color theme="1"/>
      <name val="Arial"/>
      <family val="2"/>
    </font>
    <font>
      <sz val="8"/>
      <color indexed="81"/>
      <name val="Tahoma"/>
      <family val="2"/>
    </font>
    <font>
      <b/>
      <u/>
      <sz val="12"/>
      <name val="Arial"/>
      <family val="2"/>
    </font>
    <font>
      <b/>
      <sz val="11"/>
      <color rgb="FF7030A0"/>
      <name val="Arial"/>
      <family val="2"/>
    </font>
    <font>
      <b/>
      <sz val="12"/>
      <color theme="1"/>
      <name val="Arial"/>
      <family val="2"/>
    </font>
    <font>
      <sz val="12"/>
      <color theme="1"/>
      <name val="Arial"/>
      <family val="2"/>
    </font>
    <font>
      <sz val="12"/>
      <name val="Arial"/>
      <family val="2"/>
    </font>
    <font>
      <sz val="12"/>
      <color theme="3" tint="-0.249977111117893"/>
      <name val="Arial"/>
      <family val="2"/>
    </font>
    <font>
      <sz val="14"/>
      <name val="Arial"/>
      <family val="2"/>
    </font>
    <font>
      <sz val="48"/>
      <name val="Arial"/>
      <family val="2"/>
    </font>
    <font>
      <b/>
      <i/>
      <sz val="9"/>
      <color rgb="FF0070C0"/>
      <name val="Arial"/>
      <family val="2"/>
    </font>
    <font>
      <b/>
      <i/>
      <sz val="9"/>
      <color theme="3" tint="-0.249977111117893"/>
      <name val="Arial"/>
      <family val="2"/>
    </font>
    <font>
      <b/>
      <i/>
      <sz val="9"/>
      <color theme="1"/>
      <name val="Arial"/>
      <family val="2"/>
    </font>
    <font>
      <u/>
      <sz val="11"/>
      <color theme="1"/>
      <name val="Arial"/>
      <family val="2"/>
    </font>
    <font>
      <sz val="7"/>
      <color theme="1" tint="0.499984740745262"/>
      <name val="Arial"/>
      <family val="2"/>
    </font>
    <font>
      <sz val="11"/>
      <color rgb="FF00B0F0"/>
      <name val="Arial"/>
      <family val="2"/>
    </font>
    <font>
      <sz val="10"/>
      <color rgb="FF00B0F0"/>
      <name val="Arial"/>
      <family val="2"/>
    </font>
    <font>
      <sz val="10"/>
      <color theme="3"/>
      <name val="Arial"/>
      <family val="2"/>
    </font>
    <font>
      <b/>
      <sz val="10"/>
      <color theme="3"/>
      <name val="Arial"/>
      <family val="2"/>
    </font>
    <font>
      <sz val="11"/>
      <color theme="3"/>
      <name val="Arial"/>
      <family val="2"/>
    </font>
    <font>
      <sz val="9"/>
      <color theme="3"/>
      <name val="Arial"/>
      <family val="2"/>
    </font>
    <font>
      <sz val="10"/>
      <color theme="7"/>
      <name val="Arial"/>
      <family val="2"/>
    </font>
    <font>
      <b/>
      <sz val="10"/>
      <color theme="7"/>
      <name val="Arial"/>
      <family val="2"/>
    </font>
    <font>
      <u val="double"/>
      <sz val="10"/>
      <color theme="3"/>
      <name val="Arial"/>
      <family val="2"/>
    </font>
    <font>
      <u/>
      <sz val="10"/>
      <color theme="3"/>
      <name val="Arial"/>
      <family val="2"/>
    </font>
    <font>
      <b/>
      <i/>
      <sz val="10"/>
      <color theme="1"/>
      <name val="Arial"/>
      <family val="2"/>
    </font>
    <font>
      <sz val="11"/>
      <color theme="6"/>
      <name val="Arial"/>
      <family val="2"/>
    </font>
    <font>
      <sz val="10"/>
      <color theme="6"/>
      <name val="Arial"/>
      <family val="2"/>
    </font>
    <font>
      <b/>
      <sz val="10"/>
      <color theme="6"/>
      <name val="Arial"/>
      <family val="2"/>
    </font>
    <font>
      <b/>
      <sz val="10"/>
      <color theme="0"/>
      <name val="Arial"/>
      <family val="2"/>
    </font>
    <font>
      <sz val="11"/>
      <color rgb="FFFFC000"/>
      <name val="Arial"/>
      <family val="2"/>
    </font>
    <font>
      <sz val="11"/>
      <color theme="9" tint="-0.249977111117893"/>
      <name val="Arial"/>
      <family val="2"/>
    </font>
    <font>
      <sz val="10"/>
      <color theme="9" tint="-0.249977111117893"/>
      <name val="Arial"/>
      <family val="2"/>
    </font>
    <font>
      <u/>
      <sz val="10"/>
      <color rgb="FFFF0000"/>
      <name val="Arial"/>
      <family val="2"/>
    </font>
    <font>
      <b/>
      <i/>
      <sz val="11"/>
      <color theme="1"/>
      <name val="Arial"/>
      <family val="2"/>
    </font>
    <font>
      <sz val="11"/>
      <color rgb="FFFF33CC"/>
      <name val="Arial"/>
      <family val="2"/>
    </font>
    <font>
      <sz val="10"/>
      <color rgb="FFFF33CC"/>
      <name val="Arial"/>
      <family val="2"/>
    </font>
    <font>
      <sz val="9"/>
      <color rgb="FFFF33CC"/>
      <name val="Arial"/>
      <family val="2"/>
    </font>
    <font>
      <sz val="11"/>
      <color theme="7"/>
      <name val="Arial"/>
      <family val="2"/>
    </font>
    <font>
      <sz val="9"/>
      <color theme="7"/>
      <name val="Arial"/>
      <family val="2"/>
    </font>
    <font>
      <sz val="11"/>
      <color theme="0" tint="-0.249977111117893"/>
      <name val="Arial"/>
      <family val="2"/>
    </font>
    <font>
      <sz val="9"/>
      <color rgb="FF7030A0"/>
      <name val="Arial"/>
      <family val="2"/>
    </font>
    <font>
      <sz val="9"/>
      <color rgb="FFFF0000"/>
      <name val="Arial"/>
      <family val="2"/>
    </font>
    <font>
      <sz val="10"/>
      <color theme="0" tint="-0.249977111117893"/>
      <name val="Arial"/>
      <family val="2"/>
    </font>
    <font>
      <b/>
      <sz val="9"/>
      <name val="Arial"/>
      <family val="2"/>
    </font>
    <font>
      <sz val="11"/>
      <color theme="0" tint="-0.34998626667073579"/>
      <name val="Arial"/>
      <family val="2"/>
    </font>
    <font>
      <b/>
      <sz val="11"/>
      <color rgb="FF0070C0"/>
      <name val="Arial"/>
      <family val="2"/>
    </font>
    <font>
      <b/>
      <sz val="11"/>
      <color rgb="FFFF0000"/>
      <name val="Arial"/>
      <family val="2"/>
    </font>
    <font>
      <sz val="10"/>
      <color theme="0" tint="-0.34998626667073579"/>
      <name val="Arial"/>
      <family val="2"/>
    </font>
    <font>
      <b/>
      <sz val="10"/>
      <color theme="0" tint="-4.9989318521683403E-2"/>
      <name val="Arial"/>
      <family val="2"/>
    </font>
    <font>
      <b/>
      <sz val="9"/>
      <color rgb="FFFF0000"/>
      <name val="Arial"/>
      <family val="2"/>
    </font>
    <font>
      <b/>
      <sz val="9"/>
      <color rgb="FF0070C0"/>
      <name val="Arial"/>
      <family val="2"/>
    </font>
    <font>
      <b/>
      <sz val="9"/>
      <color theme="3"/>
      <name val="Arial"/>
      <family val="2"/>
    </font>
    <font>
      <sz val="11"/>
      <color theme="0" tint="-0.14999847407452621"/>
      <name val="Arial"/>
      <family val="2"/>
    </font>
    <font>
      <sz val="9"/>
      <color theme="0" tint="-0.14999847407452621"/>
      <name val="Arial"/>
      <family val="2"/>
    </font>
    <font>
      <b/>
      <sz val="9"/>
      <color theme="1"/>
      <name val="Arial"/>
      <family val="2"/>
    </font>
    <font>
      <b/>
      <sz val="9"/>
      <color indexed="81"/>
      <name val="Segoe UI"/>
      <family val="2"/>
    </font>
    <font>
      <sz val="9"/>
      <color indexed="81"/>
      <name val="Segoe UI"/>
      <family val="2"/>
    </font>
    <font>
      <u val="double"/>
      <sz val="11"/>
      <color theme="1"/>
      <name val="Arial"/>
      <family val="2"/>
    </font>
    <font>
      <b/>
      <u val="double"/>
      <sz val="10"/>
      <name val="Arial"/>
      <family val="2"/>
    </font>
    <font>
      <sz val="9"/>
      <color rgb="FF0070C0"/>
      <name val="Arial"/>
      <family val="2"/>
    </font>
    <font>
      <b/>
      <strike/>
      <sz val="11"/>
      <color rgb="FF0070C0"/>
      <name val="Arial"/>
      <family val="2"/>
    </font>
    <font>
      <b/>
      <u/>
      <sz val="11"/>
      <color rgb="FFFF0000"/>
      <name val="Arial"/>
      <family val="2"/>
    </font>
    <font>
      <b/>
      <u/>
      <sz val="11"/>
      <color theme="1"/>
      <name val="Arial"/>
      <family val="2"/>
    </font>
    <font>
      <i/>
      <sz val="11"/>
      <color rgb="FFFF0000"/>
      <name val="Arial"/>
      <family val="2"/>
    </font>
    <font>
      <b/>
      <sz val="18"/>
      <color theme="0"/>
      <name val="Arial"/>
      <family val="2"/>
    </font>
    <font>
      <u/>
      <sz val="10"/>
      <color theme="1"/>
      <name val="Arial"/>
      <family val="2"/>
    </font>
    <font>
      <sz val="11"/>
      <color theme="0"/>
      <name val="Arial"/>
      <family val="2"/>
    </font>
    <font>
      <sz val="10"/>
      <color theme="0"/>
      <name val="Arial"/>
      <family val="2"/>
    </font>
  </fonts>
  <fills count="39">
    <fill>
      <patternFill patternType="none"/>
    </fill>
    <fill>
      <patternFill patternType="gray125"/>
    </fill>
    <fill>
      <patternFill patternType="solid">
        <fgColor theme="6" tint="0.59999389629810485"/>
        <bgColor indexed="64"/>
      </patternFill>
    </fill>
    <fill>
      <patternFill patternType="solid">
        <fgColor rgb="FFFFFF99"/>
        <bgColor indexed="64"/>
      </patternFill>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66"/>
        <bgColor indexed="64"/>
      </patternFill>
    </fill>
    <fill>
      <patternFill patternType="solid">
        <fgColor theme="5"/>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DECD9"/>
        <bgColor indexed="64"/>
      </patternFill>
    </fill>
    <fill>
      <patternFill patternType="solid">
        <fgColor theme="4" tint="0.59999389629810485"/>
        <bgColor indexed="65"/>
      </patternFill>
    </fill>
    <fill>
      <patternFill patternType="solid">
        <fgColor theme="6" tint="0.59999389629810485"/>
        <bgColor indexed="65"/>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CCECFF"/>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F2F2F2"/>
        <bgColor indexed="64"/>
      </patternFill>
    </fill>
    <fill>
      <patternFill patternType="solid">
        <fgColor theme="8" tint="0.59999389629810485"/>
        <bgColor indexed="64"/>
      </patternFill>
    </fill>
    <fill>
      <patternFill patternType="solid">
        <fgColor rgb="FFFFFFCC"/>
        <bgColor indexed="64"/>
      </patternFill>
    </fill>
    <fill>
      <patternFill patternType="solid">
        <fgColor rgb="FFFBFD95"/>
        <bgColor indexed="64"/>
      </patternFill>
    </fill>
    <fill>
      <patternFill patternType="solid">
        <fgColor indexed="47"/>
        <bgColor indexed="64"/>
      </patternFill>
    </fill>
    <fill>
      <patternFill patternType="solid">
        <fgColor rgb="FF99CCFF"/>
        <bgColor indexed="64"/>
      </patternFill>
    </fill>
    <fill>
      <patternFill patternType="solid">
        <fgColor rgb="FF00B0F0"/>
        <bgColor indexed="64"/>
      </patternFill>
    </fill>
    <fill>
      <patternFill patternType="solid">
        <fgColor rgb="FF00B050"/>
        <bgColor indexed="64"/>
      </patternFill>
    </fill>
    <fill>
      <patternFill patternType="solid">
        <fgColor rgb="FF0070C0"/>
        <bgColor indexed="64"/>
      </patternFill>
    </fill>
    <fill>
      <patternFill patternType="solid">
        <fgColor theme="3" tint="0.79998168889431442"/>
        <bgColor indexed="64"/>
      </patternFill>
    </fill>
    <fill>
      <patternFill patternType="solid">
        <fgColor theme="4"/>
        <bgColor indexed="64"/>
      </patternFill>
    </fill>
  </fills>
  <borders count="1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otted">
        <color theme="0" tint="-0.499984740745262"/>
      </bottom>
      <diagonal/>
    </border>
    <border>
      <left/>
      <right/>
      <top/>
      <bottom style="dotted">
        <color theme="0" tint="-0.499984740745262"/>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bottom style="double">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bottom style="dashDotDot">
        <color indexed="64"/>
      </bottom>
      <diagonal/>
    </border>
    <border>
      <left/>
      <right/>
      <top/>
      <bottom style="dashDotDot">
        <color indexed="64"/>
      </bottom>
      <diagonal/>
    </border>
    <border>
      <left/>
      <right style="thin">
        <color indexed="64"/>
      </right>
      <top/>
      <bottom style="dashDotDot">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tted">
        <color auto="1"/>
      </left>
      <right style="dotted">
        <color auto="1"/>
      </right>
      <top/>
      <bottom style="medium">
        <color rgb="FF0070C0"/>
      </bottom>
      <diagonal/>
    </border>
    <border>
      <left style="dotted">
        <color auto="1"/>
      </left>
      <right style="dotted">
        <color auto="1"/>
      </right>
      <top/>
      <bottom/>
      <diagonal/>
    </border>
    <border>
      <left style="dotted">
        <color auto="1"/>
      </left>
      <right style="dotted">
        <color auto="1"/>
      </right>
      <top style="medium">
        <color theme="6" tint="-0.24994659260841701"/>
      </top>
      <bottom/>
      <diagonal/>
    </border>
    <border>
      <left style="dotted">
        <color auto="1"/>
      </left>
      <right style="dotted">
        <color auto="1"/>
      </right>
      <top/>
      <bottom style="medium">
        <color theme="6" tint="-0.24994659260841701"/>
      </bottom>
      <diagonal/>
    </border>
    <border>
      <left style="dotted">
        <color auto="1"/>
      </left>
      <right style="dotted">
        <color auto="1"/>
      </right>
      <top style="medium">
        <color rgb="FF0070C0"/>
      </top>
      <bottom/>
      <diagonal/>
    </border>
    <border>
      <left style="medium">
        <color auto="1"/>
      </left>
      <right style="medium">
        <color auto="1"/>
      </right>
      <top style="medium">
        <color auto="1"/>
      </top>
      <bottom/>
      <diagonal/>
    </border>
    <border>
      <left style="dotted">
        <color auto="1"/>
      </left>
      <right style="medium">
        <color theme="6" tint="-0.24994659260841701"/>
      </right>
      <top style="medium">
        <color theme="6" tint="-0.24994659260841701"/>
      </top>
      <bottom/>
      <diagonal/>
    </border>
    <border>
      <left style="dotted">
        <color auto="1"/>
      </left>
      <right style="medium">
        <color theme="6" tint="-0.24994659260841701"/>
      </right>
      <top/>
      <bottom style="medium">
        <color theme="6" tint="-0.24994659260841701"/>
      </bottom>
      <diagonal/>
    </border>
    <border>
      <left style="dotted">
        <color auto="1"/>
      </left>
      <right style="medium">
        <color rgb="FF0070C0"/>
      </right>
      <top style="medium">
        <color rgb="FF0070C0"/>
      </top>
      <bottom/>
      <diagonal/>
    </border>
    <border>
      <left style="dotted">
        <color auto="1"/>
      </left>
      <right style="medium">
        <color rgb="FF0070C0"/>
      </right>
      <top/>
      <bottom style="medium">
        <color rgb="FF0070C0"/>
      </bottom>
      <diagonal/>
    </border>
    <border>
      <left style="dotted">
        <color auto="1"/>
      </left>
      <right style="medium">
        <color rgb="FF0070C0"/>
      </right>
      <top/>
      <bottom/>
      <diagonal/>
    </border>
    <border>
      <left style="medium">
        <color rgb="FF0070C0"/>
      </left>
      <right style="dotted">
        <color auto="1"/>
      </right>
      <top style="medium">
        <color rgb="FF0070C0"/>
      </top>
      <bottom/>
      <diagonal/>
    </border>
    <border>
      <left style="medium">
        <color rgb="FF0070C0"/>
      </left>
      <right style="dotted">
        <color auto="1"/>
      </right>
      <top/>
      <bottom style="medium">
        <color rgb="FF0070C0"/>
      </bottom>
      <diagonal/>
    </border>
    <border>
      <left style="medium">
        <color rgb="FF0070C0"/>
      </left>
      <right style="dotted">
        <color auto="1"/>
      </right>
      <top/>
      <bottom/>
      <diagonal/>
    </border>
    <border>
      <left style="dotted">
        <color auto="1"/>
      </left>
      <right style="dotted">
        <color auto="1"/>
      </right>
      <top style="medium">
        <color indexed="64"/>
      </top>
      <bottom/>
      <diagonal/>
    </border>
    <border>
      <left style="dotted">
        <color auto="1"/>
      </left>
      <right style="dotted">
        <color auto="1"/>
      </right>
      <top/>
      <bottom style="medium">
        <color indexed="64"/>
      </bottom>
      <diagonal/>
    </border>
    <border>
      <left style="dotted">
        <color auto="1"/>
      </left>
      <right style="medium">
        <color auto="1"/>
      </right>
      <top style="medium">
        <color indexed="64"/>
      </top>
      <bottom/>
      <diagonal/>
    </border>
    <border>
      <left style="dotted">
        <color auto="1"/>
      </left>
      <right style="medium">
        <color auto="1"/>
      </right>
      <top/>
      <bottom style="medium">
        <color indexed="64"/>
      </bottom>
      <diagonal/>
    </border>
    <border>
      <left style="medium">
        <color indexed="64"/>
      </left>
      <right style="dotted">
        <color auto="1"/>
      </right>
      <top style="medium">
        <color indexed="64"/>
      </top>
      <bottom/>
      <diagonal/>
    </border>
    <border>
      <left style="medium">
        <color indexed="64"/>
      </left>
      <right style="dotted">
        <color auto="1"/>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uble">
        <color indexed="64"/>
      </bottom>
      <diagonal/>
    </border>
    <border>
      <left/>
      <right/>
      <top/>
      <bottom style="dotted">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theme="6" tint="-0.24994659260841701"/>
      </left>
      <right style="dotted">
        <color auto="1"/>
      </right>
      <top style="medium">
        <color theme="6" tint="-0.24994659260841701"/>
      </top>
      <bottom/>
      <diagonal/>
    </border>
    <border>
      <left style="medium">
        <color theme="6" tint="-0.24994659260841701"/>
      </left>
      <right style="dotted">
        <color auto="1"/>
      </right>
      <top/>
      <bottom style="medium">
        <color theme="6" tint="-0.24994659260841701"/>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medium">
        <color auto="1"/>
      </left>
      <right style="medium">
        <color auto="1"/>
      </right>
      <top style="medium">
        <color auto="1"/>
      </top>
      <bottom style="double">
        <color indexed="64"/>
      </bottom>
      <diagonal/>
    </border>
    <border>
      <left/>
      <right style="thin">
        <color indexed="64"/>
      </right>
      <top/>
      <bottom style="medium">
        <color auto="1"/>
      </bottom>
      <diagonal/>
    </border>
    <border>
      <left/>
      <right/>
      <top style="double">
        <color indexed="64"/>
      </top>
      <bottom/>
      <diagonal/>
    </border>
    <border>
      <left/>
      <right/>
      <top style="double">
        <color indexed="64"/>
      </top>
      <bottom style="thin">
        <color indexed="64"/>
      </bottom>
      <diagonal/>
    </border>
    <border>
      <left style="medium">
        <color auto="1"/>
      </left>
      <right style="medium">
        <color auto="1"/>
      </right>
      <top/>
      <bottom style="double">
        <color indexed="64"/>
      </bottom>
      <diagonal/>
    </border>
    <border>
      <left style="thin">
        <color indexed="64"/>
      </left>
      <right style="thin">
        <color indexed="64"/>
      </right>
      <top style="thin">
        <color indexed="64"/>
      </top>
      <bottom style="thin">
        <color theme="1" tint="0.499984740745262"/>
      </bottom>
      <diagonal/>
    </border>
    <border>
      <left style="thin">
        <color indexed="64"/>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indexed="64"/>
      </left>
      <right/>
      <top/>
      <bottom style="thin">
        <color theme="1" tint="0.499984740745262"/>
      </bottom>
      <diagonal/>
    </border>
    <border>
      <left style="thin">
        <color indexed="64"/>
      </left>
      <right style="thin">
        <color indexed="64"/>
      </right>
      <top/>
      <bottom style="thin">
        <color theme="1" tint="0.499984740745262"/>
      </bottom>
      <diagonal/>
    </border>
    <border>
      <left/>
      <right/>
      <top/>
      <bottom style="thin">
        <color theme="1" tint="0.499984740745262"/>
      </bottom>
      <diagonal/>
    </border>
    <border>
      <left/>
      <right style="thin">
        <color indexed="64"/>
      </right>
      <top/>
      <bottom style="thin">
        <color theme="1" tint="0.499984740745262"/>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theme="1" tint="0.499984740745262"/>
      </top>
      <bottom style="thin">
        <color indexed="64"/>
      </bottom>
      <diagonal/>
    </border>
    <border>
      <left style="thin">
        <color indexed="64"/>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right/>
      <top style="thin">
        <color indexed="64"/>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indexed="64"/>
      </left>
      <right style="thin">
        <color indexed="64"/>
      </right>
      <top/>
      <bottom style="thin">
        <color theme="0" tint="-0.34998626667073579"/>
      </bottom>
      <diagonal/>
    </border>
    <border>
      <left style="thin">
        <color indexed="64"/>
      </left>
      <right/>
      <top/>
      <bottom style="thin">
        <color theme="0" tint="-0.34998626667073579"/>
      </bottom>
      <diagonal/>
    </border>
    <border>
      <left/>
      <right style="thin">
        <color indexed="64"/>
      </right>
      <top/>
      <bottom style="double">
        <color indexed="64"/>
      </bottom>
      <diagonal/>
    </border>
  </borders>
  <cellStyleXfs count="19">
    <xf numFmtId="0" fontId="0" fillId="0" borderId="0"/>
    <xf numFmtId="0" fontId="70" fillId="0" borderId="0" applyNumberFormat="0" applyFill="0" applyBorder="0" applyAlignment="0" applyProtection="0">
      <alignment vertical="top"/>
      <protection locked="0"/>
    </xf>
    <xf numFmtId="44" fontId="57" fillId="0" borderId="0" applyFont="0" applyFill="0" applyBorder="0" applyAlignment="0" applyProtection="0"/>
    <xf numFmtId="9" fontId="57" fillId="0" borderId="0" applyFont="0" applyFill="0" applyBorder="0" applyAlignment="0" applyProtection="0"/>
    <xf numFmtId="0" fontId="57" fillId="13" borderId="68" applyNumberFormat="0" applyAlignment="0">
      <protection locked="0"/>
    </xf>
    <xf numFmtId="171" fontId="68" fillId="0" borderId="0" applyFont="0" applyFill="0" applyBorder="0" applyAlignment="0" applyProtection="0"/>
    <xf numFmtId="0" fontId="57" fillId="14" borderId="0" applyNumberFormat="0" applyFont="0" applyBorder="0" applyAlignment="0" applyProtection="0"/>
    <xf numFmtId="0" fontId="57" fillId="15" borderId="0" applyNumberFormat="0" applyFont="0" applyBorder="0" applyAlignment="0" applyProtection="0"/>
    <xf numFmtId="14" fontId="68" fillId="13" borderId="14" applyFont="0" applyFill="0" applyBorder="0" applyAlignment="0" applyProtection="0">
      <alignment vertical="center"/>
      <protection locked="0"/>
    </xf>
    <xf numFmtId="0" fontId="57" fillId="13" borderId="68" applyNumberFormat="0" applyAlignment="0">
      <protection locked="0"/>
    </xf>
    <xf numFmtId="0" fontId="61" fillId="13" borderId="14" applyNumberFormat="0" applyFont="0" applyAlignment="0">
      <protection locked="0"/>
    </xf>
    <xf numFmtId="0" fontId="68" fillId="0" borderId="0" applyNumberFormat="0" applyFont="0" applyBorder="0" applyAlignment="0"/>
    <xf numFmtId="0" fontId="68" fillId="16" borderId="0" applyNumberFormat="0" applyFont="0" applyBorder="0" applyAlignment="0" applyProtection="0"/>
    <xf numFmtId="0" fontId="68" fillId="0" borderId="0" applyBorder="0">
      <alignment vertical="center"/>
    </xf>
    <xf numFmtId="2" fontId="68" fillId="0" borderId="0" applyFont="0" applyFill="0" applyBorder="0" applyAlignment="0" applyProtection="0"/>
    <xf numFmtId="49" fontId="68" fillId="0" borderId="0" applyFont="0" applyFill="0" applyBorder="0" applyAlignment="0" applyProtection="0">
      <alignment vertical="center"/>
    </xf>
    <xf numFmtId="172" fontId="68" fillId="0" borderId="0" applyFont="0" applyFill="0" applyBorder="0" applyAlignment="0" applyProtection="0"/>
    <xf numFmtId="184" fontId="57" fillId="0" borderId="0" applyFont="0" applyFill="0" applyBorder="0" applyAlignment="0" applyProtection="0"/>
    <xf numFmtId="0" fontId="68" fillId="0" borderId="0" applyBorder="0">
      <alignment vertical="center"/>
    </xf>
  </cellStyleXfs>
  <cellXfs count="1520">
    <xf numFmtId="0" fontId="0" fillId="0" borderId="0" xfId="0"/>
    <xf numFmtId="0" fontId="58" fillId="0" borderId="0" xfId="0" applyFont="1"/>
    <xf numFmtId="0" fontId="0" fillId="0" borderId="4" xfId="0" applyBorder="1" applyProtection="1">
      <protection hidden="1"/>
    </xf>
    <xf numFmtId="0" fontId="0" fillId="0" borderId="0" xfId="0" applyProtection="1">
      <protection hidden="1"/>
    </xf>
    <xf numFmtId="0" fontId="0" fillId="0" borderId="5" xfId="0" applyBorder="1" applyProtection="1">
      <protection hidden="1"/>
    </xf>
    <xf numFmtId="0" fontId="62" fillId="0" borderId="0" xfId="0" applyFont="1" applyProtection="1">
      <protection hidden="1"/>
    </xf>
    <xf numFmtId="0" fontId="62" fillId="0" borderId="0" xfId="0" applyFont="1" applyAlignment="1" applyProtection="1">
      <alignment horizontal="right"/>
      <protection hidden="1"/>
    </xf>
    <xf numFmtId="0" fontId="63" fillId="0" borderId="0" xfId="0" applyFont="1" applyAlignment="1" applyProtection="1">
      <alignment horizontal="center"/>
      <protection hidden="1"/>
    </xf>
    <xf numFmtId="0" fontId="64" fillId="0" borderId="0" xfId="0" applyFont="1" applyAlignment="1" applyProtection="1">
      <alignment horizontal="right"/>
      <protection hidden="1"/>
    </xf>
    <xf numFmtId="0" fontId="66" fillId="0" borderId="0" xfId="0" applyFont="1"/>
    <xf numFmtId="0" fontId="64" fillId="0" borderId="0" xfId="0" applyFont="1" applyProtection="1">
      <protection hidden="1"/>
    </xf>
    <xf numFmtId="0" fontId="56" fillId="0" borderId="0" xfId="0" applyFont="1" applyProtection="1">
      <protection hidden="1"/>
    </xf>
    <xf numFmtId="0" fontId="68" fillId="0" borderId="5" xfId="0" applyFont="1" applyBorder="1" applyProtection="1">
      <protection hidden="1"/>
    </xf>
    <xf numFmtId="0" fontId="69" fillId="0" borderId="0" xfId="0" applyFont="1" applyAlignment="1" applyProtection="1">
      <alignment vertical="top"/>
      <protection hidden="1"/>
    </xf>
    <xf numFmtId="0" fontId="69" fillId="0" borderId="5" xfId="0" applyFont="1" applyBorder="1" applyAlignment="1" applyProtection="1">
      <alignment vertical="top"/>
      <protection hidden="1"/>
    </xf>
    <xf numFmtId="0" fontId="69" fillId="0" borderId="0" xfId="0" applyFont="1" applyProtection="1">
      <protection hidden="1"/>
    </xf>
    <xf numFmtId="0" fontId="63" fillId="0" borderId="0" xfId="0" applyFont="1" applyProtection="1">
      <protection hidden="1"/>
    </xf>
    <xf numFmtId="0" fontId="56" fillId="0" borderId="0" xfId="0" applyFont="1" applyAlignment="1" applyProtection="1">
      <alignment horizontal="right"/>
      <protection hidden="1"/>
    </xf>
    <xf numFmtId="0" fontId="68" fillId="0" borderId="0" xfId="0" applyFont="1"/>
    <xf numFmtId="0" fontId="0" fillId="0" borderId="5" xfId="0" applyBorder="1"/>
    <xf numFmtId="0" fontId="0" fillId="0" borderId="4" xfId="0" applyBorder="1"/>
    <xf numFmtId="0" fontId="0" fillId="0" borderId="2" xfId="0" applyBorder="1"/>
    <xf numFmtId="0" fontId="69" fillId="0" borderId="2" xfId="0" applyFont="1" applyBorder="1" applyAlignment="1" applyProtection="1">
      <alignment horizontal="center" vertical="top"/>
      <protection hidden="1"/>
    </xf>
    <xf numFmtId="0" fontId="56" fillId="0" borderId="6" xfId="0" applyFont="1" applyBorder="1" applyProtection="1">
      <protection hidden="1"/>
    </xf>
    <xf numFmtId="0" fontId="56" fillId="0" borderId="7" xfId="0" applyFont="1" applyBorder="1" applyProtection="1">
      <protection hidden="1"/>
    </xf>
    <xf numFmtId="0" fontId="56" fillId="0" borderId="4" xfId="0" applyFont="1" applyBorder="1" applyProtection="1">
      <protection hidden="1"/>
    </xf>
    <xf numFmtId="2" fontId="68" fillId="0" borderId="7" xfId="0" applyNumberFormat="1" applyFont="1" applyBorder="1" applyProtection="1">
      <protection hidden="1"/>
    </xf>
    <xf numFmtId="0" fontId="56" fillId="0" borderId="7" xfId="0" applyFont="1" applyBorder="1" applyAlignment="1" applyProtection="1">
      <alignment horizontal="right"/>
      <protection hidden="1"/>
    </xf>
    <xf numFmtId="2" fontId="56" fillId="0" borderId="7" xfId="0" applyNumberFormat="1" applyFont="1" applyBorder="1" applyAlignment="1" applyProtection="1">
      <alignment horizontal="right"/>
      <protection hidden="1"/>
    </xf>
    <xf numFmtId="2" fontId="68" fillId="0" borderId="0" xfId="0" applyNumberFormat="1" applyFont="1" applyProtection="1">
      <protection hidden="1"/>
    </xf>
    <xf numFmtId="0" fontId="56" fillId="0" borderId="5" xfId="0" applyFont="1" applyBorder="1" applyProtection="1">
      <protection hidden="1"/>
    </xf>
    <xf numFmtId="0" fontId="0" fillId="0" borderId="4" xfId="0" applyBorder="1" applyAlignment="1" applyProtection="1">
      <alignment vertical="center"/>
      <protection hidden="1"/>
    </xf>
    <xf numFmtId="0" fontId="56" fillId="0" borderId="0" xfId="0" applyFont="1" applyAlignment="1" applyProtection="1">
      <alignment vertical="center"/>
      <protection hidden="1"/>
    </xf>
    <xf numFmtId="0" fontId="0" fillId="0" borderId="5" xfId="0" applyBorder="1" applyAlignment="1" applyProtection="1">
      <alignment vertical="center"/>
      <protection hidden="1"/>
    </xf>
    <xf numFmtId="0" fontId="0" fillId="0" borderId="0" xfId="0" applyAlignment="1" applyProtection="1">
      <alignment vertical="center"/>
      <protection hidden="1"/>
    </xf>
    <xf numFmtId="0" fontId="0" fillId="0" borderId="6" xfId="0" applyBorder="1" applyProtection="1">
      <protection hidden="1"/>
    </xf>
    <xf numFmtId="0" fontId="0" fillId="0" borderId="7" xfId="0" applyBorder="1" applyProtection="1">
      <protection hidden="1"/>
    </xf>
    <xf numFmtId="0" fontId="67" fillId="0" borderId="0" xfId="0" applyFont="1" applyProtection="1">
      <protection hidden="1"/>
    </xf>
    <xf numFmtId="0" fontId="78" fillId="0" borderId="0" xfId="0" applyFont="1"/>
    <xf numFmtId="0" fontId="0" fillId="2" borderId="0" xfId="0" applyFill="1" applyProtection="1">
      <protection hidden="1"/>
    </xf>
    <xf numFmtId="0" fontId="63" fillId="2" borderId="0" xfId="0" applyFont="1" applyFill="1" applyProtection="1">
      <protection hidden="1"/>
    </xf>
    <xf numFmtId="0" fontId="56" fillId="8" borderId="0" xfId="0" applyFont="1" applyFill="1" applyProtection="1">
      <protection hidden="1"/>
    </xf>
    <xf numFmtId="0" fontId="56" fillId="8" borderId="0" xfId="0" applyFont="1" applyFill="1" applyAlignment="1" applyProtection="1">
      <alignment horizontal="right"/>
      <protection hidden="1"/>
    </xf>
    <xf numFmtId="0" fontId="57" fillId="0" borderId="4" xfId="0" applyFont="1" applyBorder="1"/>
    <xf numFmtId="0" fontId="81" fillId="0" borderId="0" xfId="0" applyFont="1"/>
    <xf numFmtId="0" fontId="57" fillId="0" borderId="0" xfId="0" applyFont="1"/>
    <xf numFmtId="0" fontId="57" fillId="0" borderId="5" xfId="0" applyFont="1" applyBorder="1"/>
    <xf numFmtId="0" fontId="88" fillId="0" borderId="0" xfId="0" applyFont="1"/>
    <xf numFmtId="0" fontId="61" fillId="0" borderId="0" xfId="0" applyFont="1"/>
    <xf numFmtId="0" fontId="69" fillId="0" borderId="0" xfId="0" applyFont="1"/>
    <xf numFmtId="0" fontId="61" fillId="0" borderId="5" xfId="0" applyFont="1" applyBorder="1"/>
    <xf numFmtId="0" fontId="74" fillId="0" borderId="0" xfId="0" applyFont="1"/>
    <xf numFmtId="0" fontId="68" fillId="0" borderId="5" xfId="0" applyFont="1" applyBorder="1"/>
    <xf numFmtId="0" fontId="57" fillId="0" borderId="27" xfId="0" applyFont="1" applyBorder="1"/>
    <xf numFmtId="0" fontId="57" fillId="0" borderId="28" xfId="0" applyFont="1" applyBorder="1"/>
    <xf numFmtId="0" fontId="61" fillId="0" borderId="28" xfId="0" applyFont="1" applyBorder="1"/>
    <xf numFmtId="0" fontId="68" fillId="0" borderId="28" xfId="0" applyFont="1" applyBorder="1"/>
    <xf numFmtId="0" fontId="68" fillId="0" borderId="29" xfId="0" applyFont="1" applyBorder="1"/>
    <xf numFmtId="0" fontId="82" fillId="0" borderId="0" xfId="0" applyFont="1"/>
    <xf numFmtId="0" fontId="57" fillId="0" borderId="6" xfId="0" applyFont="1" applyBorder="1"/>
    <xf numFmtId="0" fontId="57" fillId="0" borderId="8" xfId="0" applyFont="1" applyBorder="1"/>
    <xf numFmtId="0" fontId="59" fillId="0" borderId="0" xfId="0" applyFont="1"/>
    <xf numFmtId="0" fontId="89" fillId="0" borderId="0" xfId="0" applyFont="1"/>
    <xf numFmtId="0" fontId="0" fillId="7" borderId="0" xfId="0" applyFill="1"/>
    <xf numFmtId="0" fontId="0" fillId="7" borderId="0" xfId="0" applyFill="1" applyAlignment="1">
      <alignment horizontal="center"/>
    </xf>
    <xf numFmtId="9" fontId="74" fillId="7" borderId="0" xfId="0" applyNumberFormat="1" applyFont="1" applyFill="1"/>
    <xf numFmtId="0" fontId="56" fillId="0" borderId="0" xfId="0" quotePrefix="1" applyFont="1" applyAlignment="1" applyProtection="1">
      <alignment horizontal="left"/>
      <protection hidden="1"/>
    </xf>
    <xf numFmtId="0" fontId="56" fillId="0" borderId="0" xfId="0" applyFont="1" applyAlignment="1" applyProtection="1">
      <alignment horizontal="left"/>
      <protection hidden="1"/>
    </xf>
    <xf numFmtId="0" fontId="69" fillId="2" borderId="0" xfId="0" applyFont="1" applyFill="1" applyAlignment="1" applyProtection="1">
      <alignment vertical="top"/>
      <protection hidden="1"/>
    </xf>
    <xf numFmtId="0" fontId="62" fillId="2" borderId="0" xfId="0" applyFont="1" applyFill="1" applyAlignment="1" applyProtection="1">
      <alignment vertical="center"/>
      <protection hidden="1"/>
    </xf>
    <xf numFmtId="0" fontId="68" fillId="0" borderId="5" xfId="0" applyFont="1" applyBorder="1" applyAlignment="1">
      <alignment horizontal="left" vertical="top"/>
    </xf>
    <xf numFmtId="0" fontId="68" fillId="0" borderId="5" xfId="0" applyFont="1" applyBorder="1" applyAlignment="1">
      <alignment horizontal="left"/>
    </xf>
    <xf numFmtId="2" fontId="56" fillId="0" borderId="17" xfId="0" applyNumberFormat="1" applyFont="1" applyBorder="1" applyAlignment="1" applyProtection="1">
      <alignment horizontal="right"/>
      <protection hidden="1"/>
    </xf>
    <xf numFmtId="14" fontId="79" fillId="0" borderId="0" xfId="0" applyNumberFormat="1" applyFont="1" applyProtection="1">
      <protection hidden="1"/>
    </xf>
    <xf numFmtId="0" fontId="0" fillId="0" borderId="2" xfId="0" applyBorder="1" applyProtection="1">
      <protection hidden="1"/>
    </xf>
    <xf numFmtId="2" fontId="56" fillId="0" borderId="0" xfId="0" applyNumberFormat="1" applyFont="1" applyProtection="1">
      <protection hidden="1"/>
    </xf>
    <xf numFmtId="0" fontId="68" fillId="0" borderId="0" xfId="0" applyFont="1" applyAlignment="1">
      <alignment horizontal="left" vertical="top"/>
    </xf>
    <xf numFmtId="0" fontId="68" fillId="0" borderId="0" xfId="0" applyFont="1" applyAlignment="1">
      <alignment horizontal="left"/>
    </xf>
    <xf numFmtId="0" fontId="57" fillId="6" borderId="0" xfId="0" applyFont="1" applyFill="1" applyAlignment="1">
      <alignment horizontal="center"/>
    </xf>
    <xf numFmtId="0" fontId="81" fillId="0" borderId="4" xfId="0" applyFont="1" applyBorder="1"/>
    <xf numFmtId="0" fontId="81" fillId="9" borderId="15" xfId="0" applyFont="1" applyFill="1" applyBorder="1" applyAlignment="1" applyProtection="1">
      <alignment horizontal="center" vertical="center"/>
      <protection locked="0"/>
    </xf>
    <xf numFmtId="0" fontId="91" fillId="0" borderId="0" xfId="0" applyFont="1"/>
    <xf numFmtId="0" fontId="81" fillId="0" borderId="5" xfId="0" applyFont="1" applyBorder="1"/>
    <xf numFmtId="0" fontId="91" fillId="0" borderId="4" xfId="0" applyFont="1" applyBorder="1"/>
    <xf numFmtId="0" fontId="92" fillId="0" borderId="0" xfId="0" applyFont="1"/>
    <xf numFmtId="0" fontId="91" fillId="0" borderId="5" xfId="0" applyFont="1" applyBorder="1"/>
    <xf numFmtId="0" fontId="60" fillId="9" borderId="15" xfId="0" applyFont="1" applyFill="1" applyBorder="1" applyAlignment="1" applyProtection="1">
      <alignment horizontal="center" vertical="center"/>
      <protection locked="0"/>
    </xf>
    <xf numFmtId="0" fontId="92" fillId="0" borderId="5" xfId="0" applyFont="1" applyBorder="1"/>
    <xf numFmtId="0" fontId="63" fillId="9" borderId="15" xfId="0" applyFont="1" applyFill="1" applyBorder="1" applyAlignment="1" applyProtection="1">
      <alignment horizontal="center" vertical="center"/>
      <protection locked="0"/>
    </xf>
    <xf numFmtId="0" fontId="68" fillId="0" borderId="0" xfId="0" applyFont="1" applyAlignment="1">
      <alignment vertical="top"/>
    </xf>
    <xf numFmtId="0" fontId="0" fillId="0" borderId="7" xfId="0" applyBorder="1"/>
    <xf numFmtId="0" fontId="61" fillId="0" borderId="7" xfId="0" applyFont="1" applyBorder="1"/>
    <xf numFmtId="0" fontId="93" fillId="0" borderId="0" xfId="0" applyFont="1"/>
    <xf numFmtId="0" fontId="63" fillId="3" borderId="14" xfId="0" applyFont="1" applyFill="1" applyBorder="1" applyAlignment="1" applyProtection="1">
      <alignment horizontal="center"/>
      <protection locked="0"/>
    </xf>
    <xf numFmtId="0" fontId="57" fillId="6" borderId="0" xfId="0" applyFont="1" applyFill="1" applyProtection="1">
      <protection hidden="1"/>
    </xf>
    <xf numFmtId="0" fontId="68" fillId="6" borderId="0" xfId="0" applyFont="1" applyFill="1" applyProtection="1">
      <protection hidden="1"/>
    </xf>
    <xf numFmtId="0" fontId="63" fillId="6" borderId="0" xfId="0" applyFont="1" applyFill="1" applyAlignment="1" applyProtection="1">
      <alignment horizontal="center"/>
      <protection hidden="1"/>
    </xf>
    <xf numFmtId="0" fontId="57" fillId="0" borderId="0" xfId="0" applyFont="1" applyProtection="1">
      <protection hidden="1"/>
    </xf>
    <xf numFmtId="0" fontId="57" fillId="3" borderId="14" xfId="0" applyFont="1" applyFill="1" applyBorder="1" applyProtection="1">
      <protection locked="0"/>
    </xf>
    <xf numFmtId="2" fontId="77" fillId="8" borderId="0" xfId="0" applyNumberFormat="1" applyFont="1" applyFill="1" applyAlignment="1" applyProtection="1">
      <alignment horizontal="center"/>
      <protection hidden="1"/>
    </xf>
    <xf numFmtId="10" fontId="77" fillId="8" borderId="0" xfId="0" applyNumberFormat="1" applyFont="1" applyFill="1" applyAlignment="1" applyProtection="1">
      <alignment horizontal="center"/>
      <protection hidden="1"/>
    </xf>
    <xf numFmtId="165" fontId="77" fillId="8" borderId="0" xfId="0" applyNumberFormat="1" applyFont="1" applyFill="1" applyAlignment="1" applyProtection="1">
      <alignment horizontal="center"/>
      <protection hidden="1"/>
    </xf>
    <xf numFmtId="0" fontId="62" fillId="8" borderId="43" xfId="0" applyFont="1" applyFill="1" applyBorder="1" applyAlignment="1" applyProtection="1">
      <alignment horizontal="center"/>
      <protection hidden="1"/>
    </xf>
    <xf numFmtId="0" fontId="77" fillId="8" borderId="39" xfId="0" applyFont="1" applyFill="1" applyBorder="1" applyProtection="1">
      <protection hidden="1"/>
    </xf>
    <xf numFmtId="0" fontId="84" fillId="8" borderId="41" xfId="0" applyFont="1" applyFill="1" applyBorder="1" applyAlignment="1" applyProtection="1">
      <alignment horizontal="center"/>
      <protection hidden="1"/>
    </xf>
    <xf numFmtId="0" fontId="56" fillId="8" borderId="39" xfId="0" applyFont="1" applyFill="1" applyBorder="1" applyProtection="1">
      <protection hidden="1"/>
    </xf>
    <xf numFmtId="170" fontId="83" fillId="8" borderId="42" xfId="0" applyNumberFormat="1" applyFont="1" applyFill="1" applyBorder="1" applyAlignment="1" applyProtection="1">
      <alignment horizontal="center" vertical="center"/>
      <protection hidden="1"/>
    </xf>
    <xf numFmtId="170" fontId="83" fillId="8" borderId="46" xfId="0" applyNumberFormat="1" applyFont="1" applyFill="1" applyBorder="1" applyAlignment="1" applyProtection="1">
      <alignment horizontal="center" vertical="center"/>
      <protection hidden="1"/>
    </xf>
    <xf numFmtId="2" fontId="73" fillId="8" borderId="39" xfId="0" applyNumberFormat="1" applyFont="1" applyFill="1" applyBorder="1" applyAlignment="1" applyProtection="1">
      <alignment horizontal="center" vertical="center"/>
      <protection hidden="1"/>
    </xf>
    <xf numFmtId="0" fontId="83" fillId="8" borderId="39" xfId="0" applyFont="1" applyFill="1" applyBorder="1" applyAlignment="1" applyProtection="1">
      <alignment horizontal="center" vertical="center"/>
      <protection hidden="1"/>
    </xf>
    <xf numFmtId="2" fontId="83" fillId="8" borderId="39" xfId="0" applyNumberFormat="1" applyFont="1" applyFill="1" applyBorder="1" applyAlignment="1" applyProtection="1">
      <alignment horizontal="center" vertical="center"/>
      <protection hidden="1"/>
    </xf>
    <xf numFmtId="2" fontId="83" fillId="8" borderId="48" xfId="0" applyNumberFormat="1" applyFont="1" applyFill="1" applyBorder="1" applyAlignment="1" applyProtection="1">
      <alignment horizontal="center" vertical="center"/>
      <protection hidden="1"/>
    </xf>
    <xf numFmtId="0" fontId="72" fillId="8" borderId="38" xfId="0" applyFont="1" applyFill="1" applyBorder="1" applyAlignment="1" applyProtection="1">
      <alignment horizontal="center" vertical="center"/>
      <protection hidden="1"/>
    </xf>
    <xf numFmtId="10" fontId="96" fillId="8" borderId="38" xfId="3" applyNumberFormat="1" applyFont="1" applyFill="1" applyBorder="1" applyAlignment="1" applyProtection="1">
      <alignment horizontal="center" vertical="center"/>
      <protection hidden="1"/>
    </xf>
    <xf numFmtId="0" fontId="56" fillId="8" borderId="42" xfId="0" applyFont="1" applyFill="1" applyBorder="1" applyProtection="1">
      <protection hidden="1"/>
    </xf>
    <xf numFmtId="0" fontId="62" fillId="8" borderId="52" xfId="0" applyFont="1" applyFill="1" applyBorder="1" applyAlignment="1" applyProtection="1">
      <alignment horizontal="center"/>
      <protection hidden="1"/>
    </xf>
    <xf numFmtId="0" fontId="62" fillId="8" borderId="54" xfId="0" applyFont="1" applyFill="1" applyBorder="1" applyAlignment="1" applyProtection="1">
      <alignment horizontal="center"/>
      <protection hidden="1"/>
    </xf>
    <xf numFmtId="0" fontId="56" fillId="8" borderId="53" xfId="0" applyFont="1" applyFill="1" applyBorder="1" applyProtection="1">
      <protection hidden="1"/>
    </xf>
    <xf numFmtId="10" fontId="98" fillId="7" borderId="53" xfId="3" applyNumberFormat="1" applyFont="1" applyFill="1" applyBorder="1" applyProtection="1">
      <protection hidden="1"/>
    </xf>
    <xf numFmtId="10" fontId="98" fillId="7" borderId="55" xfId="3" applyNumberFormat="1" applyFont="1" applyFill="1" applyBorder="1" applyProtection="1">
      <protection hidden="1"/>
    </xf>
    <xf numFmtId="10" fontId="96" fillId="7" borderId="38" xfId="3" applyNumberFormat="1" applyFont="1" applyFill="1" applyBorder="1" applyAlignment="1" applyProtection="1">
      <alignment horizontal="center" vertical="center"/>
      <protection hidden="1"/>
    </xf>
    <xf numFmtId="10" fontId="96" fillId="7" borderId="47" xfId="3" applyNumberFormat="1" applyFont="1" applyFill="1" applyBorder="1" applyAlignment="1" applyProtection="1">
      <alignment horizontal="center" vertical="center"/>
      <protection hidden="1"/>
    </xf>
    <xf numFmtId="10" fontId="97" fillId="7" borderId="41" xfId="3" applyNumberFormat="1" applyFont="1" applyFill="1" applyBorder="1" applyAlignment="1" applyProtection="1">
      <alignment horizontal="center"/>
      <protection hidden="1"/>
    </xf>
    <xf numFmtId="10" fontId="97" fillId="7" borderId="45" xfId="3" applyNumberFormat="1" applyFont="1" applyFill="1" applyBorder="1" applyAlignment="1" applyProtection="1">
      <alignment horizontal="center"/>
      <protection hidden="1"/>
    </xf>
    <xf numFmtId="0" fontId="101" fillId="0" borderId="0" xfId="0" applyFont="1"/>
    <xf numFmtId="0" fontId="102" fillId="0" borderId="0" xfId="0" applyFont="1" applyAlignment="1">
      <alignment vertical="top"/>
    </xf>
    <xf numFmtId="0" fontId="0" fillId="11" borderId="0" xfId="0" applyFill="1" applyProtection="1">
      <protection hidden="1"/>
    </xf>
    <xf numFmtId="0" fontId="103" fillId="11" borderId="0" xfId="0" applyFont="1" applyFill="1" applyProtection="1">
      <protection hidden="1"/>
    </xf>
    <xf numFmtId="0" fontId="103" fillId="10" borderId="66" xfId="0" applyFont="1" applyFill="1" applyBorder="1" applyAlignment="1" applyProtection="1">
      <alignment horizontal="center"/>
      <protection hidden="1"/>
    </xf>
    <xf numFmtId="0" fontId="103" fillId="10" borderId="37" xfId="0" applyFont="1" applyFill="1" applyBorder="1" applyAlignment="1" applyProtection="1">
      <alignment horizontal="center"/>
      <protection hidden="1"/>
    </xf>
    <xf numFmtId="0" fontId="103" fillId="10" borderId="13" xfId="0" applyFont="1" applyFill="1" applyBorder="1" applyAlignment="1" applyProtection="1">
      <alignment horizontal="center"/>
      <protection hidden="1"/>
    </xf>
    <xf numFmtId="0" fontId="103" fillId="7" borderId="14" xfId="0" applyFont="1" applyFill="1" applyBorder="1" applyAlignment="1" applyProtection="1">
      <alignment horizontal="center"/>
      <protection hidden="1"/>
    </xf>
    <xf numFmtId="0" fontId="103" fillId="11" borderId="59" xfId="0" applyFont="1" applyFill="1" applyBorder="1" applyProtection="1">
      <protection hidden="1"/>
    </xf>
    <xf numFmtId="0" fontId="103" fillId="11" borderId="58" xfId="0" applyFont="1" applyFill="1" applyBorder="1" applyProtection="1">
      <protection hidden="1"/>
    </xf>
    <xf numFmtId="0" fontId="103" fillId="11" borderId="60" xfId="0" applyFont="1" applyFill="1" applyBorder="1" applyProtection="1">
      <protection hidden="1"/>
    </xf>
    <xf numFmtId="0" fontId="103" fillId="11" borderId="61" xfId="0" applyFont="1" applyFill="1" applyBorder="1" applyProtection="1">
      <protection hidden="1"/>
    </xf>
    <xf numFmtId="0" fontId="103" fillId="11" borderId="62" xfId="0" applyFont="1" applyFill="1" applyBorder="1" applyProtection="1">
      <protection hidden="1"/>
    </xf>
    <xf numFmtId="0" fontId="103" fillId="11" borderId="63" xfId="0" applyFont="1" applyFill="1" applyBorder="1" applyProtection="1">
      <protection hidden="1"/>
    </xf>
    <xf numFmtId="0" fontId="103" fillId="10" borderId="3" xfId="0" applyFont="1" applyFill="1" applyBorder="1" applyAlignment="1" applyProtection="1">
      <alignment horizontal="center"/>
      <protection hidden="1"/>
    </xf>
    <xf numFmtId="0" fontId="104" fillId="11" borderId="0" xfId="0" applyFont="1" applyFill="1" applyProtection="1">
      <protection hidden="1"/>
    </xf>
    <xf numFmtId="0" fontId="103" fillId="11" borderId="21" xfId="0" applyFont="1" applyFill="1" applyBorder="1" applyProtection="1">
      <protection hidden="1"/>
    </xf>
    <xf numFmtId="0" fontId="103" fillId="11" borderId="7" xfId="0" applyFont="1" applyFill="1" applyBorder="1" applyProtection="1">
      <protection hidden="1"/>
    </xf>
    <xf numFmtId="0" fontId="103" fillId="11" borderId="21" xfId="0" applyFont="1" applyFill="1" applyBorder="1" applyAlignment="1" applyProtection="1">
      <alignment horizontal="center"/>
      <protection hidden="1"/>
    </xf>
    <xf numFmtId="0" fontId="103" fillId="11" borderId="7" xfId="0" applyFont="1" applyFill="1" applyBorder="1" applyAlignment="1" applyProtection="1">
      <alignment horizontal="center"/>
      <protection hidden="1"/>
    </xf>
    <xf numFmtId="0" fontId="103" fillId="11" borderId="19" xfId="0" applyFont="1" applyFill="1" applyBorder="1" applyProtection="1">
      <protection hidden="1"/>
    </xf>
    <xf numFmtId="0" fontId="103" fillId="0" borderId="0" xfId="0" applyFont="1" applyProtection="1">
      <protection hidden="1"/>
    </xf>
    <xf numFmtId="0" fontId="103" fillId="0" borderId="19" xfId="0" applyFont="1" applyBorder="1" applyProtection="1">
      <protection hidden="1"/>
    </xf>
    <xf numFmtId="0" fontId="103" fillId="11" borderId="0" xfId="0" applyFont="1" applyFill="1" applyAlignment="1" applyProtection="1">
      <alignment horizontal="center"/>
      <protection hidden="1"/>
    </xf>
    <xf numFmtId="0" fontId="103" fillId="6" borderId="19" xfId="0" applyFont="1" applyFill="1" applyBorder="1" applyProtection="1">
      <protection hidden="1"/>
    </xf>
    <xf numFmtId="0" fontId="105" fillId="11" borderId="0" xfId="0" applyFont="1" applyFill="1" applyProtection="1">
      <protection hidden="1"/>
    </xf>
    <xf numFmtId="0" fontId="103" fillId="11" borderId="25" xfId="0" applyFont="1" applyFill="1" applyBorder="1" applyProtection="1">
      <protection hidden="1"/>
    </xf>
    <xf numFmtId="0" fontId="103" fillId="7" borderId="37" xfId="0" applyFont="1" applyFill="1" applyBorder="1" applyProtection="1">
      <protection hidden="1"/>
    </xf>
    <xf numFmtId="0" fontId="106" fillId="11" borderId="0" xfId="0" applyFont="1" applyFill="1" applyProtection="1">
      <protection hidden="1"/>
    </xf>
    <xf numFmtId="0" fontId="104" fillId="7" borderId="19" xfId="0" applyFont="1" applyFill="1" applyBorder="1" applyProtection="1">
      <protection hidden="1"/>
    </xf>
    <xf numFmtId="0" fontId="107" fillId="11" borderId="0" xfId="0" applyFont="1" applyFill="1" applyProtection="1">
      <protection hidden="1"/>
    </xf>
    <xf numFmtId="0" fontId="108" fillId="11" borderId="0" xfId="0" applyFont="1" applyFill="1" applyProtection="1">
      <protection hidden="1"/>
    </xf>
    <xf numFmtId="0" fontId="103" fillId="12" borderId="0" xfId="0" applyFont="1" applyFill="1" applyProtection="1">
      <protection hidden="1"/>
    </xf>
    <xf numFmtId="0" fontId="103" fillId="12" borderId="19" xfId="0" applyFont="1" applyFill="1" applyBorder="1" applyProtection="1">
      <protection hidden="1"/>
    </xf>
    <xf numFmtId="0" fontId="103" fillId="12" borderId="14" xfId="0" applyFont="1" applyFill="1" applyBorder="1" applyAlignment="1" applyProtection="1">
      <alignment horizontal="center"/>
      <protection hidden="1"/>
    </xf>
    <xf numFmtId="0" fontId="109" fillId="11" borderId="0" xfId="0" applyFont="1" applyFill="1" applyProtection="1">
      <protection hidden="1"/>
    </xf>
    <xf numFmtId="0" fontId="110" fillId="11" borderId="0" xfId="0" applyFont="1" applyFill="1" applyProtection="1">
      <protection hidden="1"/>
    </xf>
    <xf numFmtId="0" fontId="104" fillId="11" borderId="67" xfId="0" applyFont="1" applyFill="1" applyBorder="1" applyProtection="1">
      <protection hidden="1"/>
    </xf>
    <xf numFmtId="0" fontId="112" fillId="0" borderId="0" xfId="0" applyFont="1"/>
    <xf numFmtId="0" fontId="70" fillId="0" borderId="0" xfId="1" applyBorder="1" applyAlignment="1" applyProtection="1"/>
    <xf numFmtId="0" fontId="119" fillId="6" borderId="0" xfId="1" applyFont="1" applyFill="1" applyAlignment="1" applyProtection="1"/>
    <xf numFmtId="0" fontId="61" fillId="2" borderId="7" xfId="0" applyFont="1" applyFill="1" applyBorder="1" applyProtection="1">
      <protection hidden="1"/>
    </xf>
    <xf numFmtId="0" fontId="61" fillId="2" borderId="8" xfId="0" applyFont="1" applyFill="1" applyBorder="1" applyProtection="1">
      <protection hidden="1"/>
    </xf>
    <xf numFmtId="0" fontId="0" fillId="0" borderId="3" xfId="0" applyBorder="1"/>
    <xf numFmtId="0" fontId="0" fillId="0" borderId="18" xfId="0" applyBorder="1"/>
    <xf numFmtId="0" fontId="121" fillId="0" borderId="0" xfId="0" applyFont="1"/>
    <xf numFmtId="14" fontId="121" fillId="0" borderId="0" xfId="0" applyNumberFormat="1" applyFont="1"/>
    <xf numFmtId="0" fontId="73" fillId="8" borderId="40" xfId="0" applyFont="1" applyFill="1" applyBorder="1" applyAlignment="1" applyProtection="1">
      <alignment horizontal="center"/>
      <protection hidden="1"/>
    </xf>
    <xf numFmtId="0" fontId="73" fillId="8" borderId="44" xfId="0" applyFont="1" applyFill="1" applyBorder="1" applyAlignment="1" applyProtection="1">
      <alignment horizontal="center"/>
      <protection hidden="1"/>
    </xf>
    <xf numFmtId="0" fontId="68" fillId="2" borderId="6" xfId="0" applyFont="1" applyFill="1" applyBorder="1" applyProtection="1">
      <protection hidden="1"/>
    </xf>
    <xf numFmtId="0" fontId="0" fillId="0" borderId="14" xfId="0" applyBorder="1"/>
    <xf numFmtId="0" fontId="62" fillId="0" borderId="1" xfId="0" applyFont="1" applyBorder="1"/>
    <xf numFmtId="0" fontId="0" fillId="0" borderId="12" xfId="0" applyBorder="1"/>
    <xf numFmtId="0" fontId="0" fillId="0" borderId="20" xfId="0" applyBorder="1"/>
    <xf numFmtId="0" fontId="0" fillId="0" borderId="13" xfId="0" applyBorder="1"/>
    <xf numFmtId="179" fontId="0" fillId="16" borderId="12" xfId="0" applyNumberFormat="1" applyFill="1" applyBorder="1"/>
    <xf numFmtId="179" fontId="0" fillId="16" borderId="15" xfId="0" applyNumberFormat="1" applyFill="1" applyBorder="1"/>
    <xf numFmtId="179" fontId="0" fillId="16" borderId="8" xfId="0" applyNumberFormat="1" applyFill="1" applyBorder="1"/>
    <xf numFmtId="179" fontId="0" fillId="16" borderId="14" xfId="0" applyNumberFormat="1" applyFill="1" applyBorder="1"/>
    <xf numFmtId="0" fontId="0" fillId="0" borderId="6" xfId="0" applyBorder="1"/>
    <xf numFmtId="0" fontId="0" fillId="0" borderId="8" xfId="0" applyBorder="1"/>
    <xf numFmtId="14" fontId="112" fillId="0" borderId="0" xfId="0" applyNumberFormat="1" applyFont="1"/>
    <xf numFmtId="0" fontId="0" fillId="16" borderId="14" xfId="0" applyFill="1" applyBorder="1"/>
    <xf numFmtId="0" fontId="0" fillId="16" borderId="14" xfId="0" applyFill="1" applyBorder="1" applyAlignment="1">
      <alignment wrapText="1"/>
    </xf>
    <xf numFmtId="0" fontId="0" fillId="7" borderId="14" xfId="0" applyFill="1" applyBorder="1"/>
    <xf numFmtId="1" fontId="0" fillId="0" borderId="14" xfId="0" applyNumberFormat="1" applyBorder="1"/>
    <xf numFmtId="2" fontId="0" fillId="0" borderId="14" xfId="0" applyNumberFormat="1" applyBorder="1"/>
    <xf numFmtId="10" fontId="0" fillId="0" borderId="14" xfId="3" applyNumberFormat="1" applyFont="1" applyBorder="1"/>
    <xf numFmtId="0" fontId="0" fillId="7" borderId="35" xfId="0" applyFill="1" applyBorder="1"/>
    <xf numFmtId="1" fontId="0" fillId="0" borderId="35" xfId="0" applyNumberFormat="1" applyBorder="1"/>
    <xf numFmtId="2" fontId="0" fillId="0" borderId="35" xfId="0" applyNumberFormat="1" applyBorder="1"/>
    <xf numFmtId="0" fontId="0" fillId="0" borderId="35" xfId="0" applyBorder="1"/>
    <xf numFmtId="10" fontId="0" fillId="0" borderId="35" xfId="3" applyNumberFormat="1" applyFont="1" applyBorder="1"/>
    <xf numFmtId="0" fontId="0" fillId="7" borderId="21" xfId="0" applyFill="1" applyBorder="1" applyAlignment="1">
      <alignment wrapText="1"/>
    </xf>
    <xf numFmtId="1" fontId="0" fillId="0" borderId="21" xfId="0" applyNumberFormat="1" applyBorder="1"/>
    <xf numFmtId="0" fontId="0" fillId="0" borderId="21" xfId="0" applyBorder="1"/>
    <xf numFmtId="9" fontId="0" fillId="0" borderId="21" xfId="0" applyNumberFormat="1" applyBorder="1"/>
    <xf numFmtId="0" fontId="126" fillId="0" borderId="21" xfId="0" applyFont="1" applyBorder="1"/>
    <xf numFmtId="0" fontId="126" fillId="0" borderId="18" xfId="0" applyFont="1" applyBorder="1"/>
    <xf numFmtId="0" fontId="126" fillId="0" borderId="13" xfId="0" applyFont="1" applyBorder="1"/>
    <xf numFmtId="0" fontId="0" fillId="0" borderId="75" xfId="0" applyBorder="1"/>
    <xf numFmtId="0" fontId="0" fillId="0" borderId="73" xfId="0" applyBorder="1"/>
    <xf numFmtId="179" fontId="0" fillId="0" borderId="14" xfId="0" applyNumberFormat="1" applyBorder="1"/>
    <xf numFmtId="0" fontId="0" fillId="7" borderId="73" xfId="0" applyFill="1" applyBorder="1" applyAlignment="1">
      <alignment wrapText="1"/>
    </xf>
    <xf numFmtId="44" fontId="0" fillId="17" borderId="18" xfId="2" applyFont="1" applyFill="1" applyBorder="1" applyProtection="1">
      <protection locked="0"/>
    </xf>
    <xf numFmtId="177" fontId="0" fillId="6" borderId="12" xfId="0" applyNumberFormat="1" applyFill="1" applyBorder="1" applyAlignment="1">
      <alignment horizontal="center"/>
    </xf>
    <xf numFmtId="177" fontId="0" fillId="16" borderId="24" xfId="0" applyNumberFormat="1" applyFill="1" applyBorder="1" applyAlignment="1">
      <alignment horizontal="center"/>
    </xf>
    <xf numFmtId="0" fontId="0" fillId="6" borderId="32" xfId="0" applyFill="1" applyBorder="1"/>
    <xf numFmtId="0" fontId="0" fillId="6" borderId="32" xfId="0" applyFill="1" applyBorder="1" applyAlignment="1">
      <alignment wrapText="1"/>
    </xf>
    <xf numFmtId="173" fontId="0" fillId="6" borderId="14" xfId="0" applyNumberFormat="1" applyFill="1" applyBorder="1" applyAlignment="1">
      <alignment horizontal="center"/>
    </xf>
    <xf numFmtId="177" fontId="0" fillId="7" borderId="12" xfId="0" applyNumberFormat="1" applyFill="1" applyBorder="1" applyAlignment="1">
      <alignment horizontal="center"/>
    </xf>
    <xf numFmtId="44" fontId="0" fillId="18" borderId="2" xfId="2" applyFont="1" applyFill="1" applyBorder="1" applyProtection="1"/>
    <xf numFmtId="44" fontId="0" fillId="18" borderId="12" xfId="2" applyFont="1" applyFill="1" applyBorder="1" applyProtection="1"/>
    <xf numFmtId="44" fontId="62" fillId="16" borderId="34" xfId="2" applyFont="1" applyFill="1" applyBorder="1" applyAlignment="1" applyProtection="1">
      <alignment horizontal="center"/>
    </xf>
    <xf numFmtId="44" fontId="62" fillId="16" borderId="35" xfId="2" applyFont="1" applyFill="1" applyBorder="1" applyAlignment="1" applyProtection="1">
      <alignment horizontal="center"/>
    </xf>
    <xf numFmtId="44" fontId="62" fillId="16" borderId="36" xfId="2" applyFont="1" applyFill="1" applyBorder="1" applyAlignment="1" applyProtection="1">
      <alignment horizontal="center"/>
    </xf>
    <xf numFmtId="0" fontId="62" fillId="6" borderId="0" xfId="0" applyFont="1" applyFill="1" applyAlignment="1">
      <alignment horizontal="center"/>
    </xf>
    <xf numFmtId="0" fontId="0" fillId="6" borderId="14" xfId="0" applyFill="1" applyBorder="1"/>
    <xf numFmtId="0" fontId="0" fillId="6" borderId="14" xfId="0" applyFill="1" applyBorder="1" applyAlignment="1">
      <alignment wrapText="1"/>
    </xf>
    <xf numFmtId="0" fontId="0" fillId="2" borderId="14" xfId="0" applyFill="1" applyBorder="1" applyAlignment="1">
      <alignment horizontal="center" vertical="center"/>
    </xf>
    <xf numFmtId="0" fontId="0" fillId="2" borderId="12" xfId="0" applyFill="1" applyBorder="1" applyAlignment="1">
      <alignment horizontal="center" vertical="center"/>
    </xf>
    <xf numFmtId="0" fontId="59" fillId="2" borderId="32" xfId="0" applyFont="1" applyFill="1" applyBorder="1"/>
    <xf numFmtId="0" fontId="0" fillId="16" borderId="32" xfId="0" applyFill="1" applyBorder="1"/>
    <xf numFmtId="0" fontId="0" fillId="16" borderId="12" xfId="0" applyFill="1" applyBorder="1"/>
    <xf numFmtId="0" fontId="0" fillId="2" borderId="20" xfId="0" applyFill="1" applyBorder="1"/>
    <xf numFmtId="0" fontId="0" fillId="16" borderId="2" xfId="0" applyFill="1" applyBorder="1"/>
    <xf numFmtId="0" fontId="0" fillId="2" borderId="14" xfId="0" applyFill="1" applyBorder="1"/>
    <xf numFmtId="0" fontId="0" fillId="2" borderId="12" xfId="0" applyFill="1" applyBorder="1"/>
    <xf numFmtId="0" fontId="55" fillId="0" borderId="7" xfId="0" applyFont="1" applyBorder="1"/>
    <xf numFmtId="0" fontId="55" fillId="0" borderId="0" xfId="0" applyFont="1"/>
    <xf numFmtId="0" fontId="55" fillId="0" borderId="4" xfId="0" applyFont="1" applyBorder="1"/>
    <xf numFmtId="0" fontId="61" fillId="2" borderId="12" xfId="0" applyFont="1" applyFill="1" applyBorder="1"/>
    <xf numFmtId="0" fontId="62" fillId="0" borderId="0" xfId="0" applyFont="1"/>
    <xf numFmtId="0" fontId="59" fillId="0" borderId="1" xfId="0" applyFont="1" applyBorder="1"/>
    <xf numFmtId="0" fontId="0" fillId="0" borderId="0" xfId="0" applyAlignment="1">
      <alignment horizontal="center"/>
    </xf>
    <xf numFmtId="14" fontId="0" fillId="0" borderId="0" xfId="0" applyNumberFormat="1"/>
    <xf numFmtId="14" fontId="0" fillId="16" borderId="14" xfId="0" applyNumberFormat="1" applyFill="1" applyBorder="1" applyAlignment="1">
      <alignment horizontal="center"/>
    </xf>
    <xf numFmtId="168" fontId="0" fillId="6" borderId="0" xfId="0" applyNumberFormat="1" applyFill="1"/>
    <xf numFmtId="0" fontId="59" fillId="2" borderId="1" xfId="0" applyFont="1" applyFill="1" applyBorder="1"/>
    <xf numFmtId="0" fontId="0" fillId="2" borderId="2" xfId="0" applyFill="1" applyBorder="1"/>
    <xf numFmtId="178" fontId="0" fillId="0" borderId="18" xfId="0" applyNumberFormat="1" applyBorder="1" applyAlignment="1">
      <alignment horizontal="right"/>
    </xf>
    <xf numFmtId="0" fontId="0" fillId="0" borderId="18" xfId="0" applyBorder="1" applyAlignment="1">
      <alignment horizontal="right"/>
    </xf>
    <xf numFmtId="0" fontId="0" fillId="0" borderId="0" xfId="0" applyAlignment="1">
      <alignment horizontal="right"/>
    </xf>
    <xf numFmtId="0" fontId="0" fillId="2" borderId="13" xfId="0" applyFill="1" applyBorder="1"/>
    <xf numFmtId="178" fontId="0" fillId="0" borderId="12" xfId="0" applyNumberFormat="1" applyBorder="1" applyAlignment="1">
      <alignment horizontal="right"/>
    </xf>
    <xf numFmtId="0" fontId="0" fillId="0" borderId="12" xfId="0" applyBorder="1" applyAlignment="1">
      <alignment horizontal="right"/>
    </xf>
    <xf numFmtId="0" fontId="0" fillId="0" borderId="4" xfId="0" applyBorder="1" applyAlignment="1">
      <alignment horizontal="right"/>
    </xf>
    <xf numFmtId="0" fontId="54" fillId="0" borderId="0" xfId="0" applyFont="1"/>
    <xf numFmtId="0" fontId="0" fillId="6" borderId="0" xfId="0" applyFill="1"/>
    <xf numFmtId="0" fontId="0" fillId="6" borderId="5" xfId="0" applyFill="1" applyBorder="1"/>
    <xf numFmtId="0" fontId="86" fillId="0" borderId="7" xfId="0" applyFont="1" applyBorder="1"/>
    <xf numFmtId="0" fontId="54" fillId="6" borderId="0" xfId="0" applyFont="1" applyFill="1"/>
    <xf numFmtId="0" fontId="0" fillId="2" borderId="59" xfId="0" applyFill="1" applyBorder="1"/>
    <xf numFmtId="0" fontId="62" fillId="0" borderId="32" xfId="0" applyFont="1" applyBorder="1" applyAlignment="1">
      <alignment horizontal="center"/>
    </xf>
    <xf numFmtId="44" fontId="62" fillId="6" borderId="0" xfId="2" applyFont="1" applyFill="1" applyBorder="1" applyAlignment="1" applyProtection="1">
      <alignment horizontal="center"/>
    </xf>
    <xf numFmtId="0" fontId="62" fillId="0" borderId="14" xfId="0" applyFont="1" applyBorder="1" applyAlignment="1">
      <alignment horizontal="center"/>
    </xf>
    <xf numFmtId="0" fontId="62" fillId="0" borderId="33" xfId="0" applyFont="1" applyBorder="1" applyAlignment="1">
      <alignment horizontal="center"/>
    </xf>
    <xf numFmtId="0" fontId="60" fillId="0" borderId="0" xfId="0" applyFont="1"/>
    <xf numFmtId="0" fontId="59" fillId="2" borderId="70" xfId="0" applyFont="1" applyFill="1" applyBorder="1"/>
    <xf numFmtId="0" fontId="0" fillId="2" borderId="64" xfId="0" applyFill="1" applyBorder="1"/>
    <xf numFmtId="0" fontId="0" fillId="2" borderId="65" xfId="0" applyFill="1" applyBorder="1"/>
    <xf numFmtId="0" fontId="59" fillId="2" borderId="12" xfId="0" applyFont="1" applyFill="1" applyBorder="1"/>
    <xf numFmtId="0" fontId="0" fillId="2" borderId="18" xfId="0" applyFill="1" applyBorder="1"/>
    <xf numFmtId="0" fontId="0" fillId="0" borderId="19" xfId="0" applyBorder="1" applyAlignment="1">
      <alignment horizontal="right"/>
    </xf>
    <xf numFmtId="0" fontId="0" fillId="0" borderId="14" xfId="0" applyBorder="1" applyAlignment="1">
      <alignment horizontal="right"/>
    </xf>
    <xf numFmtId="0" fontId="0" fillId="6" borderId="19" xfId="0" applyFill="1" applyBorder="1" applyAlignment="1">
      <alignment horizontal="right"/>
    </xf>
    <xf numFmtId="0" fontId="0" fillId="2" borderId="43" xfId="0" applyFill="1" applyBorder="1"/>
    <xf numFmtId="0" fontId="0" fillId="16" borderId="13" xfId="0" applyFill="1" applyBorder="1"/>
    <xf numFmtId="44" fontId="62" fillId="6" borderId="58" xfId="2" applyFont="1" applyFill="1" applyBorder="1" applyAlignment="1" applyProtection="1">
      <alignment horizontal="center"/>
    </xf>
    <xf numFmtId="0" fontId="0" fillId="6" borderId="7" xfId="0" applyFill="1" applyBorder="1"/>
    <xf numFmtId="0" fontId="86" fillId="0" borderId="0" xfId="0" applyFont="1"/>
    <xf numFmtId="0" fontId="0" fillId="6" borderId="4" xfId="0" applyFill="1" applyBorder="1"/>
    <xf numFmtId="177" fontId="0" fillId="6" borderId="33" xfId="0" applyNumberFormat="1" applyFill="1" applyBorder="1" applyAlignment="1">
      <alignment horizontal="center"/>
    </xf>
    <xf numFmtId="10" fontId="0" fillId="0" borderId="0" xfId="0" applyNumberFormat="1" applyAlignment="1">
      <alignment horizontal="center"/>
    </xf>
    <xf numFmtId="0" fontId="0" fillId="20" borderId="14" xfId="0" applyFill="1" applyBorder="1"/>
    <xf numFmtId="173" fontId="0" fillId="20" borderId="14" xfId="0" applyNumberFormat="1" applyFill="1" applyBorder="1" applyAlignment="1">
      <alignment horizontal="center"/>
    </xf>
    <xf numFmtId="177" fontId="0" fillId="20" borderId="12" xfId="0" applyNumberFormat="1" applyFill="1" applyBorder="1" applyAlignment="1">
      <alignment horizontal="center"/>
    </xf>
    <xf numFmtId="0" fontId="0" fillId="20" borderId="74" xfId="0" applyFill="1" applyBorder="1"/>
    <xf numFmtId="0" fontId="64" fillId="0" borderId="0" xfId="0" applyFont="1" applyAlignment="1">
      <alignment horizontal="left"/>
    </xf>
    <xf numFmtId="0" fontId="64" fillId="0" borderId="0" xfId="0" applyFont="1"/>
    <xf numFmtId="0" fontId="0" fillId="3" borderId="0" xfId="0" applyFill="1"/>
    <xf numFmtId="0" fontId="68" fillId="0" borderId="4" xfId="0" applyFont="1" applyBorder="1"/>
    <xf numFmtId="0" fontId="63" fillId="0" borderId="0" xfId="0" applyFont="1"/>
    <xf numFmtId="2" fontId="68" fillId="0" borderId="0" xfId="0" applyNumberFormat="1" applyFont="1" applyAlignment="1">
      <alignment horizontal="right"/>
    </xf>
    <xf numFmtId="2" fontId="68" fillId="0" borderId="0" xfId="0" applyNumberFormat="1" applyFont="1" applyAlignment="1">
      <alignment horizontal="center"/>
    </xf>
    <xf numFmtId="0" fontId="56" fillId="0" borderId="4" xfId="0" applyFont="1" applyBorder="1"/>
    <xf numFmtId="0" fontId="56" fillId="0" borderId="0" xfId="0" applyFont="1"/>
    <xf numFmtId="14" fontId="56" fillId="0" borderId="0" xfId="0" applyNumberFormat="1" applyFont="1" applyAlignment="1">
      <alignment horizontal="right"/>
    </xf>
    <xf numFmtId="14" fontId="56" fillId="0" borderId="0" xfId="0" applyNumberFormat="1" applyFont="1" applyAlignment="1">
      <alignment horizontal="center" vertical="top"/>
    </xf>
    <xf numFmtId="14" fontId="56" fillId="0" borderId="0" xfId="0" applyNumberFormat="1" applyFont="1" applyAlignment="1">
      <alignment horizontal="right" vertical="top"/>
    </xf>
    <xf numFmtId="0" fontId="56" fillId="0" borderId="5" xfId="0" applyFont="1" applyBorder="1"/>
    <xf numFmtId="0" fontId="63" fillId="2" borderId="0" xfId="0" applyFont="1" applyFill="1"/>
    <xf numFmtId="0" fontId="0" fillId="2" borderId="0" xfId="0" applyFill="1"/>
    <xf numFmtId="0" fontId="69" fillId="0" borderId="2" xfId="0" applyFont="1" applyBorder="1" applyAlignment="1">
      <alignment vertical="top"/>
    </xf>
    <xf numFmtId="0" fontId="62" fillId="0" borderId="2" xfId="0" applyFont="1" applyBorder="1"/>
    <xf numFmtId="0" fontId="69" fillId="0" borderId="2" xfId="0" applyFont="1" applyBorder="1" applyAlignment="1">
      <alignment horizontal="center" vertical="top"/>
    </xf>
    <xf numFmtId="0" fontId="56" fillId="0" borderId="16" xfId="0" applyFont="1" applyBorder="1"/>
    <xf numFmtId="0" fontId="56" fillId="0" borderId="17" xfId="0" applyFont="1" applyBorder="1"/>
    <xf numFmtId="0" fontId="86" fillId="0" borderId="0" xfId="0" applyFont="1" applyAlignment="1">
      <alignment vertical="top" wrapText="1"/>
    </xf>
    <xf numFmtId="0" fontId="86" fillId="0" borderId="5" xfId="0" applyFont="1" applyBorder="1" applyAlignment="1">
      <alignment vertical="top" wrapText="1"/>
    </xf>
    <xf numFmtId="0" fontId="56" fillId="0" borderId="7" xfId="0" applyFont="1" applyBorder="1"/>
    <xf numFmtId="0" fontId="86" fillId="0" borderId="7" xfId="0" applyFont="1" applyBorder="1" applyAlignment="1">
      <alignment vertical="top" wrapText="1"/>
    </xf>
    <xf numFmtId="0" fontId="67" fillId="6" borderId="7" xfId="0" applyFont="1" applyFill="1" applyBorder="1"/>
    <xf numFmtId="0" fontId="56" fillId="0" borderId="8" xfId="0" applyFont="1" applyBorder="1"/>
    <xf numFmtId="0" fontId="0" fillId="6" borderId="43" xfId="0" applyFill="1" applyBorder="1"/>
    <xf numFmtId="0" fontId="0" fillId="6" borderId="78" xfId="0" applyFill="1" applyBorder="1" applyAlignment="1">
      <alignment horizontal="center"/>
    </xf>
    <xf numFmtId="0" fontId="0" fillId="0" borderId="32" xfId="0" applyBorder="1" applyAlignment="1">
      <alignment horizontal="center"/>
    </xf>
    <xf numFmtId="0" fontId="0" fillId="0" borderId="14" xfId="0" applyBorder="1" applyAlignment="1">
      <alignment horizontal="center" wrapText="1"/>
    </xf>
    <xf numFmtId="0" fontId="0" fillId="0" borderId="14" xfId="0" applyBorder="1" applyAlignment="1">
      <alignment horizontal="center"/>
    </xf>
    <xf numFmtId="0" fontId="0" fillId="0" borderId="33" xfId="0" applyBorder="1" applyAlignment="1">
      <alignment horizontal="center" wrapText="1"/>
    </xf>
    <xf numFmtId="0" fontId="0" fillId="0" borderId="12" xfId="0" applyBorder="1" applyAlignment="1">
      <alignment horizontal="center" wrapText="1"/>
    </xf>
    <xf numFmtId="0" fontId="0" fillId="0" borderId="79" xfId="0" applyBorder="1" applyAlignment="1">
      <alignment horizontal="center" vertical="center"/>
    </xf>
    <xf numFmtId="1" fontId="0" fillId="21" borderId="32" xfId="0" applyNumberFormat="1" applyFill="1" applyBorder="1" applyAlignment="1">
      <alignment horizontal="center"/>
    </xf>
    <xf numFmtId="173" fontId="0" fillId="21" borderId="14" xfId="0" applyNumberFormat="1" applyFill="1" applyBorder="1" applyAlignment="1">
      <alignment horizontal="center"/>
    </xf>
    <xf numFmtId="179" fontId="0" fillId="7" borderId="14" xfId="0" applyNumberFormat="1" applyFill="1" applyBorder="1" applyAlignment="1">
      <alignment horizontal="center"/>
    </xf>
    <xf numFmtId="10" fontId="0" fillId="7" borderId="33" xfId="3" applyNumberFormat="1" applyFont="1" applyFill="1" applyBorder="1" applyAlignment="1">
      <alignment horizontal="center"/>
    </xf>
    <xf numFmtId="179" fontId="0" fillId="7" borderId="32" xfId="0" applyNumberFormat="1" applyFill="1" applyBorder="1" applyAlignment="1">
      <alignment horizontal="center"/>
    </xf>
    <xf numFmtId="173" fontId="0" fillId="21" borderId="12" xfId="0" applyNumberFormat="1" applyFill="1" applyBorder="1" applyAlignment="1">
      <alignment horizontal="center"/>
    </xf>
    <xf numFmtId="179" fontId="129" fillId="7" borderId="79" xfId="0" applyNumberFormat="1" applyFont="1" applyFill="1" applyBorder="1" applyAlignment="1">
      <alignment horizontal="center"/>
    </xf>
    <xf numFmtId="1" fontId="0" fillId="21" borderId="80" xfId="0" applyNumberFormat="1" applyFill="1" applyBorder="1" applyAlignment="1">
      <alignment horizontal="center"/>
    </xf>
    <xf numFmtId="179" fontId="0" fillId="7" borderId="20" xfId="0" applyNumberFormat="1" applyFill="1" applyBorder="1" applyAlignment="1">
      <alignment horizontal="center"/>
    </xf>
    <xf numFmtId="0" fontId="0" fillId="0" borderId="81" xfId="0" applyBorder="1" applyAlignment="1">
      <alignment horizontal="center" vertical="center"/>
    </xf>
    <xf numFmtId="1" fontId="0" fillId="6" borderId="82" xfId="0" applyNumberFormat="1" applyFill="1" applyBorder="1"/>
    <xf numFmtId="173" fontId="0" fillId="6" borderId="75" xfId="0" applyNumberFormat="1" applyFill="1" applyBorder="1" applyAlignment="1">
      <alignment horizontal="center"/>
    </xf>
    <xf numFmtId="179" fontId="0" fillId="18" borderId="73" xfId="0" applyNumberFormat="1" applyFill="1" applyBorder="1" applyAlignment="1">
      <alignment horizontal="center"/>
    </xf>
    <xf numFmtId="10" fontId="0" fillId="18" borderId="83" xfId="3" applyNumberFormat="1" applyFont="1" applyFill="1" applyBorder="1" applyAlignment="1">
      <alignment horizontal="center"/>
    </xf>
    <xf numFmtId="179" fontId="0" fillId="6" borderId="31" xfId="0" applyNumberFormat="1" applyFill="1" applyBorder="1" applyAlignment="1">
      <alignment horizontal="center"/>
    </xf>
    <xf numFmtId="0" fontId="129" fillId="6" borderId="84" xfId="0" applyFont="1" applyFill="1" applyBorder="1"/>
    <xf numFmtId="0" fontId="0" fillId="0" borderId="7" xfId="0" applyBorder="1" applyAlignment="1">
      <alignment vertical="center" wrapText="1"/>
    </xf>
    <xf numFmtId="179" fontId="0" fillId="21" borderId="21" xfId="0" applyNumberFormat="1" applyFill="1" applyBorder="1" applyAlignment="1">
      <alignment horizontal="center"/>
    </xf>
    <xf numFmtId="0" fontId="0" fillId="6" borderId="31" xfId="0" applyFill="1" applyBorder="1"/>
    <xf numFmtId="0" fontId="0" fillId="16" borderId="24" xfId="0" applyFill="1" applyBorder="1" applyAlignment="1">
      <alignment horizontal="center" vertical="center"/>
    </xf>
    <xf numFmtId="1" fontId="0" fillId="16" borderId="87" xfId="0" applyNumberFormat="1" applyFill="1" applyBorder="1" applyAlignment="1">
      <alignment horizontal="center"/>
    </xf>
    <xf numFmtId="0" fontId="0" fillId="6" borderId="88" xfId="0" applyFill="1" applyBorder="1"/>
    <xf numFmtId="179" fontId="0" fillId="16" borderId="73" xfId="0" applyNumberFormat="1" applyFill="1" applyBorder="1" applyAlignment="1">
      <alignment horizontal="center"/>
    </xf>
    <xf numFmtId="10" fontId="0" fillId="6" borderId="24" xfId="3" applyNumberFormat="1" applyFont="1" applyFill="1" applyBorder="1" applyAlignment="1">
      <alignment horizontal="center"/>
    </xf>
    <xf numFmtId="179" fontId="0" fillId="16" borderId="87" xfId="0" applyNumberFormat="1" applyFill="1" applyBorder="1" applyAlignment="1">
      <alignment horizontal="center"/>
    </xf>
    <xf numFmtId="179" fontId="129" fillId="16" borderId="89" xfId="0" applyNumberFormat="1" applyFont="1" applyFill="1" applyBorder="1" applyAlignment="1">
      <alignment horizontal="center"/>
    </xf>
    <xf numFmtId="0" fontId="0" fillId="7" borderId="0" xfId="0" applyFill="1" applyAlignment="1">
      <alignment wrapText="1"/>
    </xf>
    <xf numFmtId="0" fontId="50" fillId="0" borderId="0" xfId="0" applyFont="1"/>
    <xf numFmtId="0" fontId="56" fillId="0" borderId="0" xfId="0" applyFont="1" applyAlignment="1">
      <alignment horizontal="center"/>
    </xf>
    <xf numFmtId="14" fontId="56" fillId="6" borderId="0" xfId="0" applyNumberFormat="1" applyFont="1" applyFill="1" applyAlignment="1">
      <alignment horizontal="center" vertical="top"/>
    </xf>
    <xf numFmtId="14" fontId="56" fillId="6" borderId="0" xfId="0" applyNumberFormat="1" applyFont="1" applyFill="1" applyAlignment="1">
      <alignment horizontal="right" vertical="top"/>
    </xf>
    <xf numFmtId="0" fontId="0" fillId="6" borderId="0" xfId="0" applyFill="1" applyAlignment="1">
      <alignment wrapText="1"/>
    </xf>
    <xf numFmtId="0" fontId="0" fillId="6" borderId="0" xfId="0" applyFill="1" applyAlignment="1">
      <alignment wrapText="1" shrinkToFit="1"/>
    </xf>
    <xf numFmtId="0" fontId="86" fillId="6" borderId="0" xfId="0" applyFont="1" applyFill="1" applyAlignment="1">
      <alignment wrapText="1"/>
    </xf>
    <xf numFmtId="0" fontId="130" fillId="6" borderId="0" xfId="0" applyFont="1" applyFill="1" applyAlignment="1">
      <alignment wrapText="1"/>
    </xf>
    <xf numFmtId="0" fontId="60" fillId="0" borderId="0" xfId="0" applyFont="1" applyAlignment="1">
      <alignment wrapText="1"/>
    </xf>
    <xf numFmtId="0" fontId="63" fillId="2" borderId="7" xfId="0" applyFont="1" applyFill="1" applyBorder="1" applyProtection="1">
      <protection hidden="1"/>
    </xf>
    <xf numFmtId="173" fontId="0" fillId="18" borderId="14" xfId="0" applyNumberFormat="1" applyFill="1" applyBorder="1" applyAlignment="1">
      <alignment horizontal="center"/>
    </xf>
    <xf numFmtId="178" fontId="0" fillId="0" borderId="6" xfId="0" applyNumberFormat="1" applyBorder="1" applyAlignment="1">
      <alignment horizontal="right"/>
    </xf>
    <xf numFmtId="10" fontId="58" fillId="6" borderId="4" xfId="0" applyNumberFormat="1" applyFont="1" applyFill="1" applyBorder="1" applyAlignment="1">
      <alignment horizontal="center"/>
    </xf>
    <xf numFmtId="0" fontId="59" fillId="6" borderId="0" xfId="0" applyFont="1" applyFill="1"/>
    <xf numFmtId="0" fontId="0" fillId="6" borderId="1" xfId="0" applyFill="1" applyBorder="1"/>
    <xf numFmtId="0" fontId="61" fillId="6" borderId="0" xfId="0" applyFont="1" applyFill="1"/>
    <xf numFmtId="0" fontId="0" fillId="6" borderId="0" xfId="0" applyFill="1" applyAlignment="1">
      <alignment vertical="top" wrapText="1"/>
    </xf>
    <xf numFmtId="177" fontId="0" fillId="18" borderId="24" xfId="0" applyNumberFormat="1" applyFill="1" applyBorder="1" applyAlignment="1">
      <alignment horizontal="center"/>
    </xf>
    <xf numFmtId="177" fontId="0" fillId="18" borderId="12" xfId="0" applyNumberFormat="1" applyFill="1" applyBorder="1" applyAlignment="1">
      <alignment horizontal="center"/>
    </xf>
    <xf numFmtId="14" fontId="0" fillId="18" borderId="14" xfId="0" applyNumberFormat="1" applyFill="1" applyBorder="1" applyAlignment="1">
      <alignment horizontal="center"/>
    </xf>
    <xf numFmtId="0" fontId="62" fillId="2" borderId="6" xfId="0" applyFont="1" applyFill="1" applyBorder="1"/>
    <xf numFmtId="0" fontId="0" fillId="2" borderId="3" xfId="0" applyFill="1" applyBorder="1"/>
    <xf numFmtId="0" fontId="0" fillId="2" borderId="8" xfId="0" applyFill="1" applyBorder="1"/>
    <xf numFmtId="9" fontId="0" fillId="6" borderId="0" xfId="0" applyNumberFormat="1" applyFill="1"/>
    <xf numFmtId="177" fontId="64" fillId="16" borderId="1" xfId="0" applyNumberFormat="1" applyFont="1" applyFill="1" applyBorder="1" applyAlignment="1">
      <alignment horizontal="center"/>
    </xf>
    <xf numFmtId="9" fontId="48" fillId="7" borderId="14" xfId="0" applyNumberFormat="1" applyFont="1" applyFill="1" applyBorder="1"/>
    <xf numFmtId="9" fontId="48" fillId="7" borderId="14" xfId="0" applyNumberFormat="1" applyFont="1" applyFill="1" applyBorder="1" applyAlignment="1">
      <alignment wrapText="1"/>
    </xf>
    <xf numFmtId="0" fontId="62" fillId="2" borderId="1" xfId="0" applyFont="1" applyFill="1" applyBorder="1"/>
    <xf numFmtId="0" fontId="48" fillId="2" borderId="2" xfId="0" applyFont="1" applyFill="1" applyBorder="1"/>
    <xf numFmtId="0" fontId="48" fillId="2" borderId="7" xfId="0" applyFont="1" applyFill="1" applyBorder="1"/>
    <xf numFmtId="0" fontId="58" fillId="16" borderId="12" xfId="0" applyFont="1" applyFill="1" applyBorder="1"/>
    <xf numFmtId="0" fontId="56" fillId="3" borderId="7" xfId="0" applyFont="1" applyFill="1" applyBorder="1" applyAlignment="1" applyProtection="1">
      <alignment horizontal="center"/>
      <protection locked="0"/>
    </xf>
    <xf numFmtId="0" fontId="62" fillId="3" borderId="15" xfId="0" applyFont="1" applyFill="1" applyBorder="1" applyAlignment="1" applyProtection="1">
      <alignment horizontal="center"/>
      <protection locked="0"/>
    </xf>
    <xf numFmtId="164" fontId="56" fillId="3" borderId="14" xfId="0" applyNumberFormat="1" applyFont="1" applyFill="1" applyBorder="1" applyAlignment="1" applyProtection="1">
      <alignment horizontal="center"/>
      <protection locked="0"/>
    </xf>
    <xf numFmtId="14" fontId="56" fillId="3" borderId="14" xfId="0" applyNumberFormat="1" applyFont="1" applyFill="1" applyBorder="1" applyAlignment="1" applyProtection="1">
      <alignment horizontal="center"/>
      <protection locked="0"/>
    </xf>
    <xf numFmtId="0" fontId="0" fillId="3" borderId="0" xfId="0" applyFill="1" applyProtection="1">
      <protection locked="0"/>
    </xf>
    <xf numFmtId="14" fontId="56" fillId="6" borderId="0" xfId="0" applyNumberFormat="1" applyFont="1" applyFill="1" applyAlignment="1">
      <alignment horizontal="center" vertical="center"/>
    </xf>
    <xf numFmtId="14" fontId="68" fillId="6" borderId="0" xfId="0" applyNumberFormat="1" applyFont="1" applyFill="1" applyAlignment="1">
      <alignment horizontal="center" vertical="center"/>
    </xf>
    <xf numFmtId="0" fontId="0" fillId="17" borderId="14" xfId="0" applyFill="1" applyBorder="1" applyProtection="1">
      <protection locked="0"/>
    </xf>
    <xf numFmtId="0" fontId="0" fillId="17" borderId="12" xfId="0" applyFill="1" applyBorder="1" applyProtection="1">
      <protection locked="0"/>
    </xf>
    <xf numFmtId="173" fontId="0" fillId="17" borderId="21" xfId="0" applyNumberFormat="1" applyFill="1" applyBorder="1" applyAlignment="1" applyProtection="1">
      <alignment horizontal="center"/>
      <protection locked="0"/>
    </xf>
    <xf numFmtId="173" fontId="0" fillId="17" borderId="14" xfId="0" applyNumberFormat="1" applyFill="1" applyBorder="1" applyAlignment="1" applyProtection="1">
      <alignment horizontal="center"/>
      <protection locked="0"/>
    </xf>
    <xf numFmtId="10" fontId="0" fillId="17" borderId="14" xfId="0" applyNumberFormat="1" applyFill="1" applyBorder="1" applyAlignment="1" applyProtection="1">
      <alignment horizontal="center"/>
      <protection locked="0"/>
    </xf>
    <xf numFmtId="177" fontId="0" fillId="17" borderId="12" xfId="0" applyNumberFormat="1" applyFill="1" applyBorder="1" applyAlignment="1" applyProtection="1">
      <alignment horizontal="center"/>
      <protection locked="0"/>
    </xf>
    <xf numFmtId="174" fontId="0" fillId="17" borderId="12" xfId="0" applyNumberFormat="1" applyFill="1" applyBorder="1" applyAlignment="1" applyProtection="1">
      <alignment horizontal="center"/>
      <protection locked="0"/>
    </xf>
    <xf numFmtId="175" fontId="0" fillId="17" borderId="12" xfId="0" applyNumberFormat="1" applyFill="1" applyBorder="1" applyProtection="1">
      <protection locked="0"/>
    </xf>
    <xf numFmtId="176" fontId="0" fillId="17" borderId="12" xfId="0" applyNumberFormat="1" applyFill="1" applyBorder="1" applyProtection="1">
      <protection locked="0"/>
    </xf>
    <xf numFmtId="44" fontId="0" fillId="17" borderId="12" xfId="2" applyFont="1" applyFill="1" applyBorder="1" applyProtection="1">
      <protection locked="0"/>
    </xf>
    <xf numFmtId="44" fontId="0" fillId="17" borderId="7" xfId="2" applyFont="1" applyFill="1" applyBorder="1" applyProtection="1">
      <protection locked="0"/>
    </xf>
    <xf numFmtId="0" fontId="0" fillId="6" borderId="2" xfId="0" applyFill="1" applyBorder="1"/>
    <xf numFmtId="10" fontId="0" fillId="17" borderId="14" xfId="3" applyNumberFormat="1" applyFont="1" applyFill="1" applyBorder="1" applyProtection="1">
      <protection locked="0"/>
    </xf>
    <xf numFmtId="0" fontId="62" fillId="21" borderId="9" xfId="0" applyFont="1" applyFill="1" applyBorder="1"/>
    <xf numFmtId="0" fontId="45" fillId="0" borderId="9" xfId="0" applyFont="1" applyBorder="1"/>
    <xf numFmtId="0" fontId="45" fillId="0" borderId="9" xfId="0" applyFont="1" applyBorder="1" applyAlignment="1">
      <alignment horizontal="center"/>
    </xf>
    <xf numFmtId="0" fontId="62" fillId="25" borderId="15" xfId="0" applyFont="1" applyFill="1" applyBorder="1" applyAlignment="1">
      <alignment horizontal="center"/>
    </xf>
    <xf numFmtId="0" fontId="45" fillId="0" borderId="110" xfId="0" applyFont="1" applyBorder="1"/>
    <xf numFmtId="0" fontId="45" fillId="0" borderId="111" xfId="0" applyFont="1" applyBorder="1"/>
    <xf numFmtId="0" fontId="62" fillId="26" borderId="9" xfId="0" applyFont="1" applyFill="1" applyBorder="1"/>
    <xf numFmtId="0" fontId="62" fillId="0" borderId="31" xfId="0" applyFont="1" applyBorder="1"/>
    <xf numFmtId="0" fontId="45" fillId="0" borderId="31" xfId="0" applyFont="1" applyBorder="1" applyAlignment="1">
      <alignment horizontal="center"/>
    </xf>
    <xf numFmtId="0" fontId="62" fillId="0" borderId="9" xfId="0" applyFont="1" applyBorder="1"/>
    <xf numFmtId="0" fontId="45" fillId="6" borderId="84" xfId="0" applyFont="1" applyFill="1" applyBorder="1" applyAlignment="1">
      <alignment horizontal="center"/>
    </xf>
    <xf numFmtId="0" fontId="0" fillId="6" borderId="112" xfId="0" applyFill="1" applyBorder="1"/>
    <xf numFmtId="0" fontId="45" fillId="0" borderId="11" xfId="0" applyFont="1" applyBorder="1" applyAlignment="1">
      <alignment horizontal="center"/>
    </xf>
    <xf numFmtId="0" fontId="79" fillId="26" borderId="60" xfId="0" applyFont="1" applyFill="1" applyBorder="1" applyAlignment="1">
      <alignment horizontal="center"/>
    </xf>
    <xf numFmtId="2" fontId="79" fillId="26" borderId="9" xfId="0" applyNumberFormat="1" applyFont="1" applyFill="1" applyBorder="1" applyAlignment="1">
      <alignment horizontal="center"/>
    </xf>
    <xf numFmtId="0" fontId="45" fillId="6" borderId="43" xfId="0" applyFont="1" applyFill="1" applyBorder="1" applyAlignment="1">
      <alignment horizontal="center"/>
    </xf>
    <xf numFmtId="181" fontId="45" fillId="0" borderId="114" xfId="3" applyNumberFormat="1" applyFont="1" applyBorder="1" applyAlignment="1">
      <alignment horizontal="center" wrapText="1"/>
    </xf>
    <xf numFmtId="181" fontId="45" fillId="0" borderId="113" xfId="3" applyNumberFormat="1" applyFont="1" applyBorder="1" applyAlignment="1">
      <alignment horizontal="center"/>
    </xf>
    <xf numFmtId="181" fontId="62" fillId="18" borderId="15" xfId="3" applyNumberFormat="1" applyFont="1" applyFill="1" applyBorder="1" applyAlignment="1">
      <alignment horizontal="center"/>
    </xf>
    <xf numFmtId="181" fontId="45" fillId="17" borderId="78" xfId="3" applyNumberFormat="1" applyFont="1" applyFill="1" applyBorder="1" applyAlignment="1">
      <alignment horizontal="center"/>
    </xf>
    <xf numFmtId="181" fontId="45" fillId="17" borderId="79" xfId="3" applyNumberFormat="1" applyFont="1" applyFill="1" applyBorder="1" applyAlignment="1">
      <alignment horizontal="center"/>
    </xf>
    <xf numFmtId="181" fontId="45" fillId="0" borderId="110" xfId="3" applyNumberFormat="1" applyFont="1" applyBorder="1" applyAlignment="1">
      <alignment horizontal="center"/>
    </xf>
    <xf numFmtId="181" fontId="45" fillId="0" borderId="111" xfId="3" applyNumberFormat="1" applyFont="1" applyBorder="1" applyAlignment="1">
      <alignment horizontal="center"/>
    </xf>
    <xf numFmtId="181" fontId="45" fillId="0" borderId="111" xfId="3" applyNumberFormat="1" applyFont="1" applyBorder="1" applyAlignment="1">
      <alignment horizontal="center" wrapText="1"/>
    </xf>
    <xf numFmtId="10" fontId="45" fillId="17" borderId="43" xfId="0" applyNumberFormat="1" applyFont="1" applyFill="1" applyBorder="1" applyAlignment="1">
      <alignment horizontal="center"/>
    </xf>
    <xf numFmtId="10" fontId="45" fillId="17" borderId="89" xfId="0" applyNumberFormat="1" applyFont="1" applyFill="1" applyBorder="1" applyAlignment="1">
      <alignment horizontal="center"/>
    </xf>
    <xf numFmtId="10" fontId="45" fillId="17" borderId="15" xfId="0" applyNumberFormat="1" applyFont="1" applyFill="1" applyBorder="1" applyAlignment="1">
      <alignment horizontal="center"/>
    </xf>
    <xf numFmtId="181" fontId="68" fillId="18" borderId="15" xfId="0" applyNumberFormat="1" applyFont="1" applyFill="1" applyBorder="1" applyAlignment="1">
      <alignment horizontal="center"/>
    </xf>
    <xf numFmtId="0" fontId="136" fillId="26" borderId="0" xfId="0" applyFont="1" applyFill="1" applyAlignment="1">
      <alignment horizontal="left"/>
    </xf>
    <xf numFmtId="0" fontId="137" fillId="26" borderId="0" xfId="0" applyFont="1" applyFill="1" applyAlignment="1">
      <alignment horizontal="left"/>
    </xf>
    <xf numFmtId="0" fontId="138" fillId="26" borderId="0" xfId="0" applyFont="1" applyFill="1" applyAlignment="1">
      <alignment horizontal="left"/>
    </xf>
    <xf numFmtId="181" fontId="0" fillId="17" borderId="14" xfId="3" applyNumberFormat="1" applyFont="1" applyFill="1" applyBorder="1" applyProtection="1">
      <protection locked="0"/>
    </xf>
    <xf numFmtId="0" fontId="0" fillId="30" borderId="0" xfId="0" applyFill="1"/>
    <xf numFmtId="0" fontId="0" fillId="12" borderId="0" xfId="0" applyFill="1"/>
    <xf numFmtId="0" fontId="0" fillId="16" borderId="0" xfId="0" applyFill="1"/>
    <xf numFmtId="165" fontId="67" fillId="16" borderId="73" xfId="0" applyNumberFormat="1" applyFont="1" applyFill="1" applyBorder="1"/>
    <xf numFmtId="165" fontId="72" fillId="16" borderId="73" xfId="0" applyNumberFormat="1" applyFont="1" applyFill="1" applyBorder="1"/>
    <xf numFmtId="165" fontId="103" fillId="16" borderId="73" xfId="0" applyNumberFormat="1" applyFont="1" applyFill="1" applyBorder="1"/>
    <xf numFmtId="44" fontId="72" fillId="16" borderId="21" xfId="2" applyFont="1" applyFill="1" applyBorder="1" applyProtection="1"/>
    <xf numFmtId="44" fontId="103" fillId="16" borderId="21" xfId="2" applyFont="1" applyFill="1" applyBorder="1" applyProtection="1"/>
    <xf numFmtId="44" fontId="103" fillId="16" borderId="21" xfId="2" applyFont="1" applyFill="1" applyBorder="1" applyAlignment="1" applyProtection="1">
      <alignment horizontal="left"/>
    </xf>
    <xf numFmtId="44" fontId="103" fillId="16" borderId="14" xfId="2" applyFont="1" applyFill="1" applyBorder="1" applyAlignment="1" applyProtection="1">
      <alignment horizontal="left"/>
    </xf>
    <xf numFmtId="44" fontId="67" fillId="16" borderId="73" xfId="0" applyNumberFormat="1" applyFont="1" applyFill="1" applyBorder="1"/>
    <xf numFmtId="44" fontId="72" fillId="16" borderId="73" xfId="0" applyNumberFormat="1" applyFont="1" applyFill="1" applyBorder="1"/>
    <xf numFmtId="44" fontId="103" fillId="16" borderId="73" xfId="0" applyNumberFormat="1" applyFont="1" applyFill="1" applyBorder="1"/>
    <xf numFmtId="44" fontId="0" fillId="0" borderId="0" xfId="0" applyNumberFormat="1"/>
    <xf numFmtId="185" fontId="103" fillId="16" borderId="117" xfId="0" applyNumberFormat="1" applyFont="1" applyFill="1" applyBorder="1"/>
    <xf numFmtId="44" fontId="0" fillId="12" borderId="0" xfId="0" applyNumberFormat="1" applyFill="1"/>
    <xf numFmtId="185" fontId="0" fillId="12" borderId="0" xfId="0" applyNumberFormat="1" applyFill="1"/>
    <xf numFmtId="44" fontId="67" fillId="12" borderId="0" xfId="2" applyFont="1" applyFill="1" applyBorder="1" applyProtection="1"/>
    <xf numFmtId="44" fontId="72" fillId="12" borderId="0" xfId="2" applyFont="1" applyFill="1" applyBorder="1" applyProtection="1"/>
    <xf numFmtId="44" fontId="103" fillId="12" borderId="0" xfId="2" applyFont="1" applyFill="1" applyBorder="1" applyProtection="1"/>
    <xf numFmtId="0" fontId="140" fillId="0" borderId="8" xfId="0" applyFont="1" applyBorder="1" applyAlignment="1">
      <alignment horizontal="right"/>
    </xf>
    <xf numFmtId="0" fontId="139" fillId="0" borderId="8" xfId="0" applyFont="1" applyBorder="1" applyAlignment="1" applyProtection="1">
      <alignment horizontal="right"/>
      <protection hidden="1"/>
    </xf>
    <xf numFmtId="0" fontId="117" fillId="0" borderId="0" xfId="0" applyFont="1"/>
    <xf numFmtId="14" fontId="125" fillId="0" borderId="0" xfId="0" applyNumberFormat="1" applyFont="1"/>
    <xf numFmtId="14" fontId="127" fillId="0" borderId="0" xfId="0" applyNumberFormat="1" applyFont="1"/>
    <xf numFmtId="0" fontId="118" fillId="0" borderId="0" xfId="0" applyFont="1"/>
    <xf numFmtId="0" fontId="113" fillId="0" borderId="0" xfId="0" applyFont="1"/>
    <xf numFmtId="0" fontId="112" fillId="0" borderId="0" xfId="0" applyFont="1" applyProtection="1">
      <protection hidden="1"/>
    </xf>
    <xf numFmtId="0" fontId="58" fillId="0" borderId="0" xfId="0" applyFont="1" applyProtection="1">
      <protection hidden="1"/>
    </xf>
    <xf numFmtId="14" fontId="102" fillId="0" borderId="0" xfId="0" applyNumberFormat="1" applyFont="1"/>
    <xf numFmtId="0" fontId="116" fillId="0" borderId="0" xfId="0" applyFont="1"/>
    <xf numFmtId="0" fontId="111" fillId="0" borderId="0" xfId="0" applyFont="1"/>
    <xf numFmtId="0" fontId="124" fillId="0" borderId="0" xfId="0" applyFont="1"/>
    <xf numFmtId="0" fontId="76" fillId="0" borderId="0" xfId="0" applyFont="1" applyProtection="1">
      <protection hidden="1"/>
    </xf>
    <xf numFmtId="0" fontId="114" fillId="0" borderId="0" xfId="0" applyFont="1" applyProtection="1">
      <protection hidden="1"/>
    </xf>
    <xf numFmtId="2" fontId="112" fillId="0" borderId="0" xfId="0" applyNumberFormat="1" applyFont="1" applyProtection="1">
      <protection hidden="1"/>
    </xf>
    <xf numFmtId="2" fontId="0" fillId="0" borderId="0" xfId="0" applyNumberFormat="1" applyProtection="1">
      <protection hidden="1"/>
    </xf>
    <xf numFmtId="0" fontId="67" fillId="0" borderId="0" xfId="0" applyFont="1"/>
    <xf numFmtId="0" fontId="67" fillId="0" borderId="0" xfId="0" applyFont="1" applyAlignment="1" applyProtection="1">
      <alignment vertical="center"/>
      <protection hidden="1"/>
    </xf>
    <xf numFmtId="0" fontId="122" fillId="0" borderId="0" xfId="0" applyFont="1" applyAlignment="1" applyProtection="1">
      <alignment vertical="center"/>
      <protection hidden="1"/>
    </xf>
    <xf numFmtId="0" fontId="121" fillId="0" borderId="0" xfId="0" applyFont="1" applyAlignment="1" applyProtection="1">
      <alignment vertical="center"/>
      <protection hidden="1"/>
    </xf>
    <xf numFmtId="0" fontId="59" fillId="2" borderId="13" xfId="0" applyFont="1" applyFill="1" applyBorder="1"/>
    <xf numFmtId="0" fontId="0" fillId="16" borderId="8" xfId="0" applyFill="1" applyBorder="1"/>
    <xf numFmtId="0" fontId="43" fillId="0" borderId="0" xfId="0" applyFont="1" applyAlignment="1" applyProtection="1">
      <alignment vertical="center"/>
      <protection hidden="1"/>
    </xf>
    <xf numFmtId="14" fontId="102" fillId="0" borderId="0" xfId="0" applyNumberFormat="1" applyFont="1" applyProtection="1">
      <protection hidden="1"/>
    </xf>
    <xf numFmtId="14" fontId="112" fillId="0" borderId="0" xfId="0" applyNumberFormat="1" applyFont="1" applyProtection="1">
      <protection hidden="1"/>
    </xf>
    <xf numFmtId="14" fontId="74" fillId="0" borderId="0" xfId="0" applyNumberFormat="1" applyFont="1" applyProtection="1">
      <protection hidden="1"/>
    </xf>
    <xf numFmtId="14" fontId="0" fillId="0" borderId="0" xfId="0" applyNumberFormat="1" applyProtection="1">
      <protection hidden="1"/>
    </xf>
    <xf numFmtId="0" fontId="117" fillId="0" borderId="0" xfId="0" applyFont="1" applyProtection="1">
      <protection hidden="1"/>
    </xf>
    <xf numFmtId="0" fontId="85" fillId="0" borderId="0" xfId="0" applyFont="1" applyProtection="1">
      <protection hidden="1"/>
    </xf>
    <xf numFmtId="0" fontId="121" fillId="0" borderId="0" xfId="0" applyFont="1" applyProtection="1">
      <protection hidden="1"/>
    </xf>
    <xf numFmtId="0" fontId="73" fillId="0" borderId="0" xfId="0" applyFont="1" applyAlignment="1" applyProtection="1">
      <alignment horizontal="left"/>
      <protection hidden="1"/>
    </xf>
    <xf numFmtId="0" fontId="63" fillId="0" borderId="0" xfId="0" applyFont="1" applyAlignment="1" applyProtection="1">
      <alignment horizontal="left"/>
      <protection hidden="1"/>
    </xf>
    <xf numFmtId="0" fontId="68" fillId="8" borderId="0" xfId="0" applyFont="1" applyFill="1" applyAlignment="1" applyProtection="1">
      <alignment horizontal="left"/>
      <protection hidden="1"/>
    </xf>
    <xf numFmtId="0" fontId="0" fillId="8" borderId="0" xfId="0" applyFill="1" applyProtection="1">
      <protection hidden="1"/>
    </xf>
    <xf numFmtId="0" fontId="56" fillId="0" borderId="0" xfId="0" applyFont="1" applyAlignment="1" applyProtection="1">
      <alignment horizontal="center"/>
      <protection hidden="1"/>
    </xf>
    <xf numFmtId="0" fontId="63" fillId="0" borderId="0" xfId="0" applyFont="1" applyAlignment="1" applyProtection="1">
      <alignment horizontal="right"/>
      <protection hidden="1"/>
    </xf>
    <xf numFmtId="3" fontId="63" fillId="7" borderId="14" xfId="0" applyNumberFormat="1" applyFont="1" applyFill="1" applyBorder="1" applyAlignment="1" applyProtection="1">
      <alignment horizontal="center"/>
      <protection hidden="1"/>
    </xf>
    <xf numFmtId="0" fontId="62" fillId="7" borderId="14" xfId="0" applyFont="1" applyFill="1" applyBorder="1" applyAlignment="1" applyProtection="1">
      <alignment horizontal="center"/>
      <protection hidden="1"/>
    </xf>
    <xf numFmtId="167" fontId="62" fillId="7" borderId="14" xfId="0" applyNumberFormat="1" applyFont="1" applyFill="1" applyBorder="1" applyAlignment="1" applyProtection="1">
      <alignment horizontal="center"/>
      <protection hidden="1"/>
    </xf>
    <xf numFmtId="4" fontId="62" fillId="7" borderId="14" xfId="0" applyNumberFormat="1" applyFont="1" applyFill="1" applyBorder="1" applyAlignment="1" applyProtection="1">
      <alignment horizontal="center"/>
      <protection hidden="1"/>
    </xf>
    <xf numFmtId="0" fontId="63" fillId="8" borderId="0" xfId="0" applyFont="1" applyFill="1" applyAlignment="1" applyProtection="1">
      <alignment horizontal="right" indent="1"/>
      <protection hidden="1"/>
    </xf>
    <xf numFmtId="0" fontId="67" fillId="8" borderId="0" xfId="0" applyFont="1" applyFill="1" applyProtection="1">
      <protection hidden="1"/>
    </xf>
    <xf numFmtId="0" fontId="68" fillId="8" borderId="0" xfId="0" applyFont="1" applyFill="1" applyAlignment="1" applyProtection="1">
      <alignment horizontal="right"/>
      <protection hidden="1"/>
    </xf>
    <xf numFmtId="0" fontId="63" fillId="8" borderId="0" xfId="0" applyFont="1" applyFill="1" applyAlignment="1" applyProtection="1">
      <alignment horizontal="right"/>
      <protection hidden="1"/>
    </xf>
    <xf numFmtId="0" fontId="68" fillId="0" borderId="0" xfId="0" applyFont="1" applyAlignment="1" applyProtection="1">
      <alignment horizontal="right"/>
      <protection hidden="1"/>
    </xf>
    <xf numFmtId="0" fontId="123" fillId="0" borderId="0" xfId="0" applyFont="1" applyProtection="1">
      <protection hidden="1"/>
    </xf>
    <xf numFmtId="1" fontId="72" fillId="8" borderId="0" xfId="0" applyNumberFormat="1" applyFont="1" applyFill="1" applyAlignment="1" applyProtection="1">
      <alignment horizontal="center"/>
      <protection hidden="1"/>
    </xf>
    <xf numFmtId="1" fontId="68" fillId="7" borderId="14" xfId="0" applyNumberFormat="1" applyFont="1" applyFill="1" applyBorder="1" applyAlignment="1" applyProtection="1">
      <alignment horizontal="right" indent="1"/>
      <protection hidden="1"/>
    </xf>
    <xf numFmtId="0" fontId="68" fillId="7" borderId="0" xfId="0" applyFont="1" applyFill="1" applyProtection="1">
      <protection hidden="1"/>
    </xf>
    <xf numFmtId="0" fontId="61" fillId="7" borderId="0" xfId="0" applyFont="1" applyFill="1" applyProtection="1">
      <protection hidden="1"/>
    </xf>
    <xf numFmtId="4" fontId="72" fillId="8" borderId="0" xfId="0" applyNumberFormat="1" applyFont="1" applyFill="1" applyAlignment="1" applyProtection="1">
      <alignment horizontal="center"/>
      <protection hidden="1"/>
    </xf>
    <xf numFmtId="3" fontId="72" fillId="8" borderId="0" xfId="0" applyNumberFormat="1" applyFont="1" applyFill="1" applyAlignment="1" applyProtection="1">
      <alignment horizontal="center"/>
      <protection hidden="1"/>
    </xf>
    <xf numFmtId="4" fontId="56" fillId="7" borderId="14" xfId="0" applyNumberFormat="1" applyFont="1" applyFill="1" applyBorder="1" applyProtection="1">
      <protection hidden="1"/>
    </xf>
    <xf numFmtId="4" fontId="56" fillId="2" borderId="26" xfId="0" applyNumberFormat="1" applyFont="1" applyFill="1" applyBorder="1" applyProtection="1">
      <protection hidden="1"/>
    </xf>
    <xf numFmtId="164" fontId="56" fillId="2" borderId="14" xfId="0" applyNumberFormat="1" applyFont="1" applyFill="1" applyBorder="1" applyProtection="1">
      <protection hidden="1"/>
    </xf>
    <xf numFmtId="169" fontId="0" fillId="8" borderId="0" xfId="0" applyNumberFormat="1" applyFill="1" applyProtection="1">
      <protection hidden="1"/>
    </xf>
    <xf numFmtId="0" fontId="78" fillId="8" borderId="0" xfId="0" applyFont="1" applyFill="1" applyProtection="1">
      <protection hidden="1"/>
    </xf>
    <xf numFmtId="0" fontId="63" fillId="0" borderId="0" xfId="0" applyFont="1" applyAlignment="1" applyProtection="1">
      <alignment horizontal="right" indent="1"/>
      <protection hidden="1"/>
    </xf>
    <xf numFmtId="3" fontId="0" fillId="8" borderId="0" xfId="0" applyNumberFormat="1" applyFill="1" applyAlignment="1" applyProtection="1">
      <alignment horizontal="center"/>
      <protection hidden="1"/>
    </xf>
    <xf numFmtId="0" fontId="56" fillId="2" borderId="12" xfId="0" applyFont="1" applyFill="1" applyBorder="1" applyAlignment="1" applyProtection="1">
      <alignment horizontal="center" wrapText="1"/>
      <protection hidden="1"/>
    </xf>
    <xf numFmtId="0" fontId="56" fillId="2" borderId="14" xfId="0" applyFont="1" applyFill="1" applyBorder="1" applyAlignment="1" applyProtection="1">
      <alignment horizontal="center" wrapText="1"/>
      <protection hidden="1"/>
    </xf>
    <xf numFmtId="0" fontId="56" fillId="2" borderId="13" xfId="0" applyFont="1" applyFill="1" applyBorder="1" applyAlignment="1" applyProtection="1">
      <alignment horizontal="center" wrapText="1"/>
      <protection hidden="1"/>
    </xf>
    <xf numFmtId="0" fontId="0" fillId="2" borderId="18" xfId="0" applyFill="1" applyBorder="1" applyProtection="1">
      <protection hidden="1"/>
    </xf>
    <xf numFmtId="0" fontId="53" fillId="2" borderId="13" xfId="0" applyFont="1" applyFill="1" applyBorder="1" applyAlignment="1" applyProtection="1">
      <alignment horizontal="right"/>
      <protection hidden="1"/>
    </xf>
    <xf numFmtId="0" fontId="72" fillId="8" borderId="18" xfId="0" applyFont="1" applyFill="1" applyBorder="1" applyAlignment="1" applyProtection="1">
      <alignment horizontal="right"/>
      <protection hidden="1"/>
    </xf>
    <xf numFmtId="0" fontId="56" fillId="2" borderId="12" xfId="0" applyFont="1" applyFill="1" applyBorder="1" applyAlignment="1" applyProtection="1">
      <alignment horizontal="right"/>
      <protection hidden="1"/>
    </xf>
    <xf numFmtId="0" fontId="56" fillId="2" borderId="13" xfId="0" applyFont="1" applyFill="1" applyBorder="1" applyAlignment="1" applyProtection="1">
      <alignment horizontal="center"/>
      <protection hidden="1"/>
    </xf>
    <xf numFmtId="0" fontId="56" fillId="2" borderId="18" xfId="0" applyFont="1" applyFill="1" applyBorder="1" applyAlignment="1" applyProtection="1">
      <alignment horizontal="right"/>
      <protection hidden="1"/>
    </xf>
    <xf numFmtId="0" fontId="63" fillId="0" borderId="18" xfId="0" applyFont="1" applyBorder="1" applyAlignment="1" applyProtection="1">
      <alignment horizontal="left"/>
      <protection hidden="1"/>
    </xf>
    <xf numFmtId="166" fontId="63" fillId="7" borderId="13" xfId="0" applyNumberFormat="1" applyFont="1" applyFill="1" applyBorder="1" applyAlignment="1" applyProtection="1">
      <alignment horizontal="right"/>
      <protection hidden="1"/>
    </xf>
    <xf numFmtId="4" fontId="72" fillId="8" borderId="18" xfId="0" applyNumberFormat="1" applyFont="1" applyFill="1" applyBorder="1" applyProtection="1">
      <protection hidden="1"/>
    </xf>
    <xf numFmtId="166" fontId="72" fillId="8" borderId="18" xfId="0" applyNumberFormat="1" applyFont="1" applyFill="1" applyBorder="1" applyProtection="1">
      <protection hidden="1"/>
    </xf>
    <xf numFmtId="166" fontId="63" fillId="8" borderId="12" xfId="0" applyNumberFormat="1" applyFont="1" applyFill="1" applyBorder="1" applyProtection="1">
      <protection hidden="1"/>
    </xf>
    <xf numFmtId="166" fontId="63" fillId="7" borderId="13" xfId="0" applyNumberFormat="1" applyFont="1" applyFill="1" applyBorder="1" applyProtection="1">
      <protection hidden="1"/>
    </xf>
    <xf numFmtId="166" fontId="63" fillId="8" borderId="18" xfId="0" applyNumberFormat="1" applyFont="1" applyFill="1" applyBorder="1" applyProtection="1">
      <protection hidden="1"/>
    </xf>
    <xf numFmtId="166" fontId="62" fillId="8" borderId="12" xfId="0" applyNumberFormat="1" applyFont="1" applyFill="1" applyBorder="1" applyProtection="1">
      <protection hidden="1"/>
    </xf>
    <xf numFmtId="166" fontId="62" fillId="7" borderId="13" xfId="0" applyNumberFormat="1" applyFont="1" applyFill="1" applyBorder="1" applyProtection="1">
      <protection hidden="1"/>
    </xf>
    <xf numFmtId="166" fontId="0" fillId="8" borderId="0" xfId="0" applyNumberFormat="1" applyFill="1" applyProtection="1">
      <protection hidden="1"/>
    </xf>
    <xf numFmtId="166" fontId="0" fillId="0" borderId="0" xfId="0" applyNumberFormat="1" applyProtection="1">
      <protection hidden="1"/>
    </xf>
    <xf numFmtId="0" fontId="56" fillId="0" borderId="18" xfId="0" applyFont="1" applyBorder="1" applyProtection="1">
      <protection hidden="1"/>
    </xf>
    <xf numFmtId="16" fontId="52" fillId="7" borderId="18" xfId="0" quotePrefix="1" applyNumberFormat="1" applyFont="1" applyFill="1" applyBorder="1" applyAlignment="1" applyProtection="1">
      <alignment horizontal="left"/>
      <protection hidden="1"/>
    </xf>
    <xf numFmtId="166" fontId="68" fillId="7" borderId="13" xfId="0" applyNumberFormat="1" applyFont="1" applyFill="1" applyBorder="1" applyAlignment="1" applyProtection="1">
      <alignment horizontal="right"/>
      <protection hidden="1"/>
    </xf>
    <xf numFmtId="166" fontId="56" fillId="8" borderId="12" xfId="0" applyNumberFormat="1" applyFont="1" applyFill="1" applyBorder="1" applyProtection="1">
      <protection hidden="1"/>
    </xf>
    <xf numFmtId="166" fontId="56" fillId="7" borderId="13" xfId="0" applyNumberFormat="1" applyFont="1" applyFill="1" applyBorder="1" applyProtection="1">
      <protection hidden="1"/>
    </xf>
    <xf numFmtId="166" fontId="56" fillId="8" borderId="1" xfId="0" quotePrefix="1" applyNumberFormat="1" applyFont="1" applyFill="1" applyBorder="1" applyProtection="1">
      <protection hidden="1"/>
    </xf>
    <xf numFmtId="166" fontId="0" fillId="0" borderId="2" xfId="0" applyNumberFormat="1" applyBorder="1" applyProtection="1">
      <protection hidden="1"/>
    </xf>
    <xf numFmtId="166" fontId="56" fillId="7" borderId="3" xfId="0" applyNumberFormat="1" applyFont="1" applyFill="1" applyBorder="1" applyProtection="1">
      <protection hidden="1"/>
    </xf>
    <xf numFmtId="166" fontId="56" fillId="8" borderId="2" xfId="0" applyNumberFormat="1" applyFont="1" applyFill="1" applyBorder="1" applyProtection="1">
      <protection hidden="1"/>
    </xf>
    <xf numFmtId="166" fontId="56" fillId="8" borderId="1" xfId="0" applyNumberFormat="1" applyFont="1" applyFill="1" applyBorder="1" applyProtection="1">
      <protection hidden="1"/>
    </xf>
    <xf numFmtId="166" fontId="56" fillId="8" borderId="4" xfId="0" quotePrefix="1" applyNumberFormat="1" applyFont="1" applyFill="1" applyBorder="1" applyProtection="1">
      <protection hidden="1"/>
    </xf>
    <xf numFmtId="166" fontId="56" fillId="0" borderId="18" xfId="0" applyNumberFormat="1" applyFont="1" applyBorder="1" applyProtection="1">
      <protection hidden="1"/>
    </xf>
    <xf numFmtId="166" fontId="56" fillId="0" borderId="18" xfId="0" quotePrefix="1" applyNumberFormat="1" applyFont="1" applyBorder="1" applyProtection="1">
      <protection hidden="1"/>
    </xf>
    <xf numFmtId="166" fontId="0" fillId="0" borderId="18" xfId="0" applyNumberFormat="1" applyBorder="1" applyProtection="1">
      <protection hidden="1"/>
    </xf>
    <xf numFmtId="166" fontId="56" fillId="8" borderId="0" xfId="0" applyNumberFormat="1" applyFont="1" applyFill="1" applyProtection="1">
      <protection hidden="1"/>
    </xf>
    <xf numFmtId="166" fontId="62" fillId="7" borderId="14" xfId="0" applyNumberFormat="1" applyFont="1" applyFill="1" applyBorder="1" applyProtection="1">
      <protection hidden="1"/>
    </xf>
    <xf numFmtId="0" fontId="127" fillId="0" borderId="0" xfId="0" applyFont="1" applyProtection="1">
      <protection hidden="1"/>
    </xf>
    <xf numFmtId="166" fontId="56" fillId="7" borderId="8" xfId="0" applyNumberFormat="1" applyFont="1" applyFill="1" applyBorder="1" applyProtection="1">
      <protection hidden="1"/>
    </xf>
    <xf numFmtId="166" fontId="56" fillId="8" borderId="7" xfId="0" applyNumberFormat="1" applyFont="1" applyFill="1" applyBorder="1" applyProtection="1">
      <protection hidden="1"/>
    </xf>
    <xf numFmtId="166" fontId="56" fillId="8" borderId="6" xfId="0" applyNumberFormat="1" applyFont="1" applyFill="1" applyBorder="1" applyProtection="1">
      <protection hidden="1"/>
    </xf>
    <xf numFmtId="16" fontId="56" fillId="0" borderId="18" xfId="0" applyNumberFormat="1" applyFont="1" applyBorder="1" applyProtection="1">
      <protection hidden="1"/>
    </xf>
    <xf numFmtId="166" fontId="56" fillId="8" borderId="18" xfId="0" applyNumberFormat="1" applyFont="1" applyFill="1" applyBorder="1" applyProtection="1">
      <protection hidden="1"/>
    </xf>
    <xf numFmtId="0" fontId="75" fillId="0" borderId="0" xfId="0" applyFont="1" applyProtection="1">
      <protection hidden="1"/>
    </xf>
    <xf numFmtId="16" fontId="56" fillId="7" borderId="18" xfId="0" quotePrefix="1" applyNumberFormat="1" applyFont="1" applyFill="1" applyBorder="1" applyAlignment="1" applyProtection="1">
      <alignment horizontal="left"/>
      <protection hidden="1"/>
    </xf>
    <xf numFmtId="0" fontId="0" fillId="0" borderId="0" xfId="0" applyAlignment="1" applyProtection="1">
      <alignment horizontal="left"/>
      <protection hidden="1"/>
    </xf>
    <xf numFmtId="166" fontId="61" fillId="0" borderId="0" xfId="0" applyNumberFormat="1" applyFont="1" applyAlignment="1" applyProtection="1">
      <alignment horizontal="left"/>
      <protection hidden="1"/>
    </xf>
    <xf numFmtId="166" fontId="0" fillId="8" borderId="0" xfId="0" applyNumberFormat="1" applyFill="1" applyAlignment="1" applyProtection="1">
      <alignment horizontal="left"/>
      <protection hidden="1"/>
    </xf>
    <xf numFmtId="0" fontId="62" fillId="0" borderId="18" xfId="0" applyFont="1" applyBorder="1" applyProtection="1">
      <protection hidden="1"/>
    </xf>
    <xf numFmtId="166" fontId="62" fillId="8" borderId="0" xfId="0" applyNumberFormat="1" applyFont="1" applyFill="1" applyProtection="1">
      <protection hidden="1"/>
    </xf>
    <xf numFmtId="49" fontId="56" fillId="0" borderId="18" xfId="0" applyNumberFormat="1" applyFont="1" applyBorder="1" applyProtection="1">
      <protection hidden="1"/>
    </xf>
    <xf numFmtId="0" fontId="52" fillId="7" borderId="18" xfId="0" applyFont="1" applyFill="1" applyBorder="1" applyAlignment="1" applyProtection="1">
      <alignment horizontal="left"/>
      <protection hidden="1"/>
    </xf>
    <xf numFmtId="166" fontId="56" fillId="8" borderId="12" xfId="0" quotePrefix="1" applyNumberFormat="1" applyFont="1" applyFill="1" applyBorder="1" applyProtection="1">
      <protection hidden="1"/>
    </xf>
    <xf numFmtId="166" fontId="56" fillId="0" borderId="13" xfId="0" applyNumberFormat="1" applyFont="1" applyBorder="1" applyProtection="1">
      <protection hidden="1"/>
    </xf>
    <xf numFmtId="166" fontId="56" fillId="8" borderId="6" xfId="0" quotePrefix="1" applyNumberFormat="1" applyFont="1" applyFill="1" applyBorder="1" applyProtection="1">
      <protection hidden="1"/>
    </xf>
    <xf numFmtId="166" fontId="0" fillId="8" borderId="2" xfId="0" applyNumberFormat="1" applyFill="1" applyBorder="1" applyProtection="1">
      <protection hidden="1"/>
    </xf>
    <xf numFmtId="0" fontId="68" fillId="7" borderId="18" xfId="0" applyFont="1" applyFill="1" applyBorder="1" applyAlignment="1" applyProtection="1">
      <alignment horizontal="left" vertical="center"/>
      <protection hidden="1"/>
    </xf>
    <xf numFmtId="166" fontId="0" fillId="8" borderId="4" xfId="0" applyNumberFormat="1" applyFill="1" applyBorder="1" applyProtection="1">
      <protection hidden="1"/>
    </xf>
    <xf numFmtId="49" fontId="56" fillId="7" borderId="18" xfId="0" applyNumberFormat="1" applyFont="1" applyFill="1" applyBorder="1" applyProtection="1">
      <protection hidden="1"/>
    </xf>
    <xf numFmtId="0" fontId="86" fillId="7" borderId="18" xfId="0" applyFont="1" applyFill="1" applyBorder="1" applyAlignment="1" applyProtection="1">
      <alignment horizontal="left"/>
      <protection hidden="1"/>
    </xf>
    <xf numFmtId="166" fontId="56" fillId="0" borderId="0" xfId="0" applyNumberFormat="1" applyFont="1" applyProtection="1">
      <protection hidden="1"/>
    </xf>
    <xf numFmtId="0" fontId="63" fillId="7" borderId="18" xfId="0" applyFont="1" applyFill="1" applyBorder="1" applyAlignment="1" applyProtection="1">
      <alignment horizontal="left"/>
      <protection hidden="1"/>
    </xf>
    <xf numFmtId="0" fontId="63" fillId="0" borderId="18" xfId="0" applyFont="1" applyBorder="1" applyProtection="1">
      <protection hidden="1"/>
    </xf>
    <xf numFmtId="16" fontId="56" fillId="7" borderId="18" xfId="0" applyNumberFormat="1" applyFont="1" applyFill="1" applyBorder="1" applyProtection="1">
      <protection hidden="1"/>
    </xf>
    <xf numFmtId="16" fontId="52" fillId="7" borderId="18" xfId="0" quotePrefix="1" applyNumberFormat="1" applyFont="1" applyFill="1" applyBorder="1" applyProtection="1">
      <protection hidden="1"/>
    </xf>
    <xf numFmtId="166" fontId="69" fillId="8" borderId="4" xfId="0" applyNumberFormat="1" applyFont="1" applyFill="1" applyBorder="1" applyAlignment="1" applyProtection="1">
      <alignment vertical="top" wrapText="1"/>
      <protection hidden="1"/>
    </xf>
    <xf numFmtId="166" fontId="79" fillId="0" borderId="0" xfId="0" applyNumberFormat="1" applyFont="1" applyAlignment="1" applyProtection="1">
      <alignment vertical="top" wrapText="1"/>
      <protection hidden="1"/>
    </xf>
    <xf numFmtId="166" fontId="79" fillId="8" borderId="0" xfId="0" applyNumberFormat="1" applyFont="1" applyFill="1" applyAlignment="1" applyProtection="1">
      <alignment vertical="top" wrapText="1"/>
      <protection hidden="1"/>
    </xf>
    <xf numFmtId="16" fontId="56" fillId="7" borderId="18" xfId="0" quotePrefix="1" applyNumberFormat="1" applyFont="1" applyFill="1" applyBorder="1" applyProtection="1">
      <protection hidden="1"/>
    </xf>
    <xf numFmtId="166" fontId="79" fillId="8" borderId="4" xfId="0" applyNumberFormat="1" applyFont="1" applyFill="1" applyBorder="1" applyAlignment="1" applyProtection="1">
      <alignment vertical="top" wrapText="1"/>
      <protection hidden="1"/>
    </xf>
    <xf numFmtId="0" fontId="79" fillId="0" borderId="5" xfId="0" applyFont="1" applyBorder="1" applyAlignment="1" applyProtection="1">
      <alignment horizontal="right" indent="1"/>
      <protection hidden="1"/>
    </xf>
    <xf numFmtId="0" fontId="72" fillId="8" borderId="18" xfId="0" applyFont="1" applyFill="1" applyBorder="1" applyProtection="1">
      <protection hidden="1"/>
    </xf>
    <xf numFmtId="166" fontId="79" fillId="8" borderId="4" xfId="0" applyNumberFormat="1" applyFont="1" applyFill="1" applyBorder="1" applyProtection="1">
      <protection hidden="1"/>
    </xf>
    <xf numFmtId="166" fontId="79" fillId="0" borderId="0" xfId="0" applyNumberFormat="1" applyFont="1" applyProtection="1">
      <protection hidden="1"/>
    </xf>
    <xf numFmtId="166" fontId="79" fillId="8" borderId="0" xfId="0" applyNumberFormat="1" applyFont="1" applyFill="1" applyProtection="1">
      <protection hidden="1"/>
    </xf>
    <xf numFmtId="0" fontId="74" fillId="0" borderId="0" xfId="0" applyFont="1" applyProtection="1">
      <protection hidden="1"/>
    </xf>
    <xf numFmtId="166" fontId="63" fillId="0" borderId="0" xfId="0" applyNumberFormat="1" applyFont="1" applyProtection="1">
      <protection hidden="1"/>
    </xf>
    <xf numFmtId="166" fontId="0" fillId="8" borderId="0" xfId="0" applyNumberFormat="1" applyFill="1" applyAlignment="1" applyProtection="1">
      <alignment horizontal="right" indent="1"/>
      <protection hidden="1"/>
    </xf>
    <xf numFmtId="166" fontId="63" fillId="0" borderId="0" xfId="0" applyNumberFormat="1" applyFont="1" applyAlignment="1" applyProtection="1">
      <alignment horizontal="right" indent="1"/>
      <protection hidden="1"/>
    </xf>
    <xf numFmtId="166" fontId="63" fillId="8" borderId="0" xfId="0" applyNumberFormat="1" applyFont="1" applyFill="1" applyAlignment="1" applyProtection="1">
      <alignment horizontal="right" indent="1"/>
      <protection hidden="1"/>
    </xf>
    <xf numFmtId="166" fontId="56" fillId="8" borderId="0" xfId="0" applyNumberFormat="1" applyFont="1" applyFill="1" applyAlignment="1" applyProtection="1">
      <alignment horizontal="right" indent="1"/>
      <protection hidden="1"/>
    </xf>
    <xf numFmtId="166" fontId="0" fillId="0" borderId="0" xfId="0" applyNumberFormat="1" applyAlignment="1" applyProtection="1">
      <alignment horizontal="right" indent="1"/>
      <protection hidden="1"/>
    </xf>
    <xf numFmtId="0" fontId="67" fillId="2" borderId="18" xfId="0" applyFont="1" applyFill="1" applyBorder="1" applyAlignment="1" applyProtection="1">
      <alignment horizontal="left"/>
      <protection hidden="1"/>
    </xf>
    <xf numFmtId="166" fontId="68" fillId="8" borderId="12" xfId="0" applyNumberFormat="1" applyFont="1" applyFill="1" applyBorder="1" applyAlignment="1" applyProtection="1">
      <alignment horizontal="right" indent="1"/>
      <protection hidden="1"/>
    </xf>
    <xf numFmtId="166" fontId="68" fillId="7" borderId="13" xfId="0" applyNumberFormat="1" applyFont="1" applyFill="1" applyBorder="1" applyAlignment="1" applyProtection="1">
      <alignment horizontal="right" indent="1"/>
      <protection hidden="1"/>
    </xf>
    <xf numFmtId="166" fontId="68" fillId="8" borderId="18" xfId="0" applyNumberFormat="1" applyFont="1" applyFill="1" applyBorder="1" applyProtection="1">
      <protection hidden="1"/>
    </xf>
    <xf numFmtId="166" fontId="68" fillId="7" borderId="13" xfId="0" applyNumberFormat="1" applyFont="1" applyFill="1" applyBorder="1" applyProtection="1">
      <protection hidden="1"/>
    </xf>
    <xf numFmtId="166" fontId="67" fillId="8" borderId="0" xfId="0" applyNumberFormat="1" applyFont="1" applyFill="1" applyAlignment="1" applyProtection="1">
      <alignment horizontal="left"/>
      <protection hidden="1"/>
    </xf>
    <xf numFmtId="166" fontId="56" fillId="8" borderId="0" xfId="0" applyNumberFormat="1" applyFont="1" applyFill="1" applyAlignment="1" applyProtection="1">
      <alignment horizontal="right"/>
      <protection hidden="1"/>
    </xf>
    <xf numFmtId="166" fontId="62" fillId="0" borderId="0" xfId="0" applyNumberFormat="1" applyFont="1" applyAlignment="1" applyProtection="1">
      <alignment horizontal="right"/>
      <protection hidden="1"/>
    </xf>
    <xf numFmtId="166" fontId="62" fillId="8" borderId="0" xfId="0" applyNumberFormat="1" applyFont="1" applyFill="1" applyAlignment="1" applyProtection="1">
      <alignment horizontal="right"/>
      <protection hidden="1"/>
    </xf>
    <xf numFmtId="0" fontId="66" fillId="0" borderId="0" xfId="0" applyFont="1" applyProtection="1">
      <protection hidden="1"/>
    </xf>
    <xf numFmtId="0" fontId="69" fillId="0" borderId="0" xfId="0" applyFont="1" applyAlignment="1" applyProtection="1">
      <alignment horizontal="left"/>
      <protection hidden="1"/>
    </xf>
    <xf numFmtId="0" fontId="67" fillId="0" borderId="0" xfId="0" applyFont="1" applyAlignment="1" applyProtection="1">
      <alignment horizontal="right"/>
      <protection hidden="1"/>
    </xf>
    <xf numFmtId="0" fontId="67" fillId="8" borderId="0" xfId="0" applyFont="1" applyFill="1" applyAlignment="1" applyProtection="1">
      <alignment horizontal="right"/>
      <protection hidden="1"/>
    </xf>
    <xf numFmtId="4" fontId="67" fillId="0" borderId="0" xfId="0" applyNumberFormat="1" applyFont="1" applyAlignment="1" applyProtection="1">
      <alignment horizontal="right"/>
      <protection hidden="1"/>
    </xf>
    <xf numFmtId="164" fontId="63" fillId="7" borderId="15" xfId="0" applyNumberFormat="1" applyFont="1" applyFill="1" applyBorder="1" applyAlignment="1" applyProtection="1">
      <alignment horizontal="right" indent="1"/>
      <protection hidden="1"/>
    </xf>
    <xf numFmtId="0" fontId="62" fillId="8" borderId="0" xfId="0" applyFont="1" applyFill="1" applyAlignment="1" applyProtection="1">
      <alignment horizontal="right"/>
      <protection hidden="1"/>
    </xf>
    <xf numFmtId="164" fontId="63" fillId="8" borderId="10" xfId="0" applyNumberFormat="1" applyFont="1" applyFill="1" applyBorder="1" applyAlignment="1" applyProtection="1">
      <alignment horizontal="right"/>
      <protection hidden="1"/>
    </xf>
    <xf numFmtId="164" fontId="0" fillId="0" borderId="0" xfId="0" applyNumberFormat="1" applyProtection="1">
      <protection hidden="1"/>
    </xf>
    <xf numFmtId="0" fontId="68" fillId="0" borderId="0" xfId="0" applyFont="1" applyAlignment="1" applyProtection="1">
      <alignment horizontal="left"/>
      <protection hidden="1"/>
    </xf>
    <xf numFmtId="0" fontId="78" fillId="0" borderId="0" xfId="0" applyFont="1" applyProtection="1">
      <protection hidden="1"/>
    </xf>
    <xf numFmtId="0" fontId="114" fillId="0" borderId="0" xfId="0" applyFont="1" applyAlignment="1" applyProtection="1">
      <alignment horizontal="left"/>
      <protection hidden="1"/>
    </xf>
    <xf numFmtId="0" fontId="62" fillId="0" borderId="0" xfId="0" applyFont="1" applyAlignment="1" applyProtection="1">
      <alignment horizontal="left"/>
      <protection hidden="1"/>
    </xf>
    <xf numFmtId="164" fontId="115" fillId="0" borderId="0" xfId="0" applyNumberFormat="1" applyFont="1" applyAlignment="1" applyProtection="1">
      <alignment horizontal="right" indent="1"/>
      <protection hidden="1"/>
    </xf>
    <xf numFmtId="0" fontId="62" fillId="0" borderId="7" xfId="0" applyFont="1" applyBorder="1" applyProtection="1">
      <protection hidden="1"/>
    </xf>
    <xf numFmtId="0" fontId="62" fillId="0" borderId="7" xfId="0" applyFont="1" applyBorder="1" applyAlignment="1" applyProtection="1">
      <alignment horizontal="right"/>
      <protection hidden="1"/>
    </xf>
    <xf numFmtId="0" fontId="70" fillId="0" borderId="0" xfId="1" applyFill="1" applyBorder="1" applyAlignment="1" applyProtection="1">
      <alignment horizontal="center" wrapText="1"/>
      <protection hidden="1"/>
    </xf>
    <xf numFmtId="0" fontId="70" fillId="0" borderId="0" xfId="1" applyFill="1" applyBorder="1" applyAlignment="1" applyProtection="1">
      <protection hidden="1"/>
    </xf>
    <xf numFmtId="0" fontId="70" fillId="0" borderId="0" xfId="1" applyBorder="1" applyAlignment="1" applyProtection="1">
      <protection hidden="1"/>
    </xf>
    <xf numFmtId="0" fontId="80" fillId="0" borderId="0" xfId="0" applyFont="1" applyProtection="1">
      <protection hidden="1"/>
    </xf>
    <xf numFmtId="0" fontId="120" fillId="0" borderId="0" xfId="0" applyFont="1" applyProtection="1">
      <protection hidden="1"/>
    </xf>
    <xf numFmtId="0" fontId="0" fillId="6" borderId="4" xfId="0" applyFill="1" applyBorder="1" applyProtection="1">
      <protection hidden="1"/>
    </xf>
    <xf numFmtId="0" fontId="0" fillId="6" borderId="0" xfId="0" applyFill="1" applyProtection="1">
      <protection hidden="1"/>
    </xf>
    <xf numFmtId="0" fontId="48" fillId="6" borderId="0" xfId="0" applyFont="1" applyFill="1" applyProtection="1">
      <protection hidden="1"/>
    </xf>
    <xf numFmtId="0" fontId="48" fillId="6" borderId="0" xfId="0" applyFont="1" applyFill="1" applyAlignment="1" applyProtection="1">
      <alignment horizontal="right"/>
      <protection hidden="1"/>
    </xf>
    <xf numFmtId="0" fontId="62" fillId="7" borderId="0" xfId="0" applyFont="1" applyFill="1" applyAlignment="1" applyProtection="1">
      <alignment horizontal="left"/>
      <protection hidden="1"/>
    </xf>
    <xf numFmtId="0" fontId="48" fillId="7" borderId="0" xfId="0" applyFont="1" applyFill="1" applyProtection="1">
      <protection hidden="1"/>
    </xf>
    <xf numFmtId="0" fontId="68" fillId="6" borderId="0" xfId="0" applyFont="1" applyFill="1" applyAlignment="1" applyProtection="1">
      <alignment horizontal="right"/>
      <protection hidden="1"/>
    </xf>
    <xf numFmtId="0" fontId="48" fillId="7" borderId="0" xfId="0" applyFont="1" applyFill="1" applyAlignment="1" applyProtection="1">
      <alignment horizontal="left"/>
      <protection hidden="1"/>
    </xf>
    <xf numFmtId="0" fontId="46" fillId="6" borderId="0" xfId="0" applyFont="1" applyFill="1" applyAlignment="1" applyProtection="1">
      <alignment horizontal="left"/>
      <protection hidden="1"/>
    </xf>
    <xf numFmtId="0" fontId="46" fillId="6" borderId="0" xfId="0" applyFont="1" applyFill="1" applyProtection="1">
      <protection hidden="1"/>
    </xf>
    <xf numFmtId="0" fontId="62" fillId="6" borderId="0" xfId="0" applyFont="1" applyFill="1" applyProtection="1">
      <protection hidden="1"/>
    </xf>
    <xf numFmtId="0" fontId="62" fillId="7" borderId="0" xfId="0" applyFont="1" applyFill="1" applyProtection="1">
      <protection hidden="1"/>
    </xf>
    <xf numFmtId="0" fontId="0" fillId="6" borderId="5" xfId="0" applyFill="1" applyBorder="1" applyProtection="1">
      <protection hidden="1"/>
    </xf>
    <xf numFmtId="0" fontId="48" fillId="0" borderId="0" xfId="0" applyFont="1" applyProtection="1">
      <protection hidden="1"/>
    </xf>
    <xf numFmtId="0" fontId="73" fillId="6" borderId="0" xfId="0" applyFont="1" applyFill="1" applyProtection="1">
      <protection hidden="1"/>
    </xf>
    <xf numFmtId="0" fontId="48" fillId="6" borderId="4" xfId="0" applyFont="1" applyFill="1" applyBorder="1" applyProtection="1">
      <protection hidden="1"/>
    </xf>
    <xf numFmtId="0" fontId="63" fillId="0" borderId="18" xfId="0" applyFont="1" applyBorder="1" applyAlignment="1" applyProtection="1">
      <alignment horizontal="center" vertical="center"/>
      <protection hidden="1"/>
    </xf>
    <xf numFmtId="14" fontId="62" fillId="7" borderId="18" xfId="0" applyNumberFormat="1" applyFont="1" applyFill="1" applyBorder="1" applyAlignment="1" applyProtection="1">
      <alignment vertical="center"/>
      <protection hidden="1"/>
    </xf>
    <xf numFmtId="0" fontId="62" fillId="0" borderId="18" xfId="0" applyFont="1" applyBorder="1" applyAlignment="1" applyProtection="1">
      <alignment horizontal="center" vertical="center"/>
      <protection hidden="1"/>
    </xf>
    <xf numFmtId="0" fontId="48" fillId="0" borderId="13" xfId="0" applyFont="1" applyBorder="1" applyAlignment="1" applyProtection="1">
      <alignment vertical="center"/>
      <protection hidden="1"/>
    </xf>
    <xf numFmtId="0" fontId="62" fillId="19" borderId="14" xfId="0" applyFont="1" applyFill="1" applyBorder="1" applyProtection="1">
      <protection hidden="1"/>
    </xf>
    <xf numFmtId="0" fontId="62" fillId="19" borderId="14" xfId="0" applyFont="1" applyFill="1" applyBorder="1" applyAlignment="1" applyProtection="1">
      <alignment horizontal="center"/>
      <protection hidden="1"/>
    </xf>
    <xf numFmtId="0" fontId="48" fillId="0" borderId="14" xfId="0" applyFont="1" applyBorder="1" applyProtection="1">
      <protection hidden="1"/>
    </xf>
    <xf numFmtId="0" fontId="48" fillId="0" borderId="14" xfId="0" applyFont="1" applyBorder="1" applyAlignment="1" applyProtection="1">
      <alignment horizontal="center"/>
      <protection hidden="1"/>
    </xf>
    <xf numFmtId="0" fontId="48" fillId="6" borderId="14" xfId="0" applyFont="1" applyFill="1" applyBorder="1" applyAlignment="1" applyProtection="1">
      <alignment horizontal="center"/>
      <protection hidden="1"/>
    </xf>
    <xf numFmtId="0" fontId="62" fillId="19" borderId="20" xfId="0" applyFont="1" applyFill="1" applyBorder="1" applyAlignment="1" applyProtection="1">
      <alignment horizontal="center"/>
      <protection hidden="1"/>
    </xf>
    <xf numFmtId="182" fontId="48" fillId="0" borderId="14" xfId="0" applyNumberFormat="1" applyFont="1" applyBorder="1" applyAlignment="1" applyProtection="1">
      <alignment horizontal="center"/>
      <protection hidden="1"/>
    </xf>
    <xf numFmtId="10" fontId="48" fillId="0" borderId="13" xfId="0" applyNumberFormat="1" applyFont="1" applyBorder="1" applyAlignment="1" applyProtection="1">
      <alignment horizontal="center"/>
      <protection hidden="1"/>
    </xf>
    <xf numFmtId="0" fontId="62" fillId="16" borderId="14" xfId="0" applyFont="1" applyFill="1" applyBorder="1" applyAlignment="1" applyProtection="1">
      <alignment wrapText="1"/>
      <protection hidden="1"/>
    </xf>
    <xf numFmtId="0" fontId="62" fillId="19" borderId="14" xfId="0" applyFont="1" applyFill="1" applyBorder="1" applyAlignment="1" applyProtection="1">
      <alignment wrapText="1"/>
      <protection hidden="1"/>
    </xf>
    <xf numFmtId="174" fontId="48" fillId="6" borderId="14" xfId="0" applyNumberFormat="1" applyFont="1" applyFill="1" applyBorder="1" applyAlignment="1" applyProtection="1">
      <alignment horizontal="center"/>
      <protection hidden="1"/>
    </xf>
    <xf numFmtId="0" fontId="0" fillId="6" borderId="2" xfId="0" applyFill="1" applyBorder="1" applyProtection="1">
      <protection hidden="1"/>
    </xf>
    <xf numFmtId="182" fontId="48" fillId="6" borderId="0" xfId="0" applyNumberFormat="1" applyFont="1" applyFill="1" applyAlignment="1" applyProtection="1">
      <alignment horizontal="center"/>
      <protection hidden="1"/>
    </xf>
    <xf numFmtId="0" fontId="62" fillId="16" borderId="7" xfId="0" applyFont="1" applyFill="1" applyBorder="1" applyProtection="1">
      <protection hidden="1"/>
    </xf>
    <xf numFmtId="0" fontId="62" fillId="16" borderId="14" xfId="0" applyFont="1" applyFill="1" applyBorder="1" applyAlignment="1" applyProtection="1">
      <alignment horizontal="center"/>
      <protection hidden="1"/>
    </xf>
    <xf numFmtId="44" fontId="62" fillId="0" borderId="14" xfId="0" applyNumberFormat="1" applyFont="1" applyBorder="1" applyAlignment="1" applyProtection="1">
      <alignment horizontal="center"/>
      <protection hidden="1"/>
    </xf>
    <xf numFmtId="44" fontId="62" fillId="6" borderId="14" xfId="0" applyNumberFormat="1" applyFont="1" applyFill="1" applyBorder="1" applyAlignment="1" applyProtection="1">
      <alignment horizontal="center"/>
      <protection hidden="1"/>
    </xf>
    <xf numFmtId="0" fontId="62" fillId="6" borderId="14" xfId="0" applyFont="1" applyFill="1" applyBorder="1" applyAlignment="1" applyProtection="1">
      <alignment horizontal="center"/>
      <protection hidden="1"/>
    </xf>
    <xf numFmtId="44" fontId="62" fillId="0" borderId="4" xfId="0" applyNumberFormat="1" applyFont="1" applyBorder="1" applyAlignment="1" applyProtection="1">
      <alignment horizontal="center"/>
      <protection hidden="1"/>
    </xf>
    <xf numFmtId="0" fontId="67" fillId="6" borderId="0" xfId="0" applyFont="1" applyFill="1" applyAlignment="1" applyProtection="1">
      <alignment horizontal="left" vertical="top"/>
      <protection hidden="1"/>
    </xf>
    <xf numFmtId="0" fontId="47" fillId="6" borderId="0" xfId="0" applyFont="1" applyFill="1" applyAlignment="1" applyProtection="1">
      <alignment horizontal="left" vertical="top"/>
      <protection hidden="1"/>
    </xf>
    <xf numFmtId="0" fontId="59" fillId="6" borderId="0" xfId="0" applyFont="1" applyFill="1" applyProtection="1">
      <protection hidden="1"/>
    </xf>
    <xf numFmtId="0" fontId="0" fillId="6" borderId="7" xfId="0" applyFill="1" applyBorder="1" applyProtection="1">
      <protection hidden="1"/>
    </xf>
    <xf numFmtId="0" fontId="79" fillId="6" borderId="0" xfId="0" applyFont="1" applyFill="1" applyProtection="1">
      <protection hidden="1"/>
    </xf>
    <xf numFmtId="0" fontId="59" fillId="6" borderId="7" xfId="0" applyFont="1" applyFill="1" applyBorder="1" applyProtection="1">
      <protection hidden="1"/>
    </xf>
    <xf numFmtId="0" fontId="0" fillId="2" borderId="5" xfId="0" applyFill="1" applyBorder="1"/>
    <xf numFmtId="0" fontId="59" fillId="2" borderId="4" xfId="0" applyFont="1" applyFill="1" applyBorder="1"/>
    <xf numFmtId="0" fontId="62" fillId="2" borderId="4" xfId="0" applyFont="1" applyFill="1" applyBorder="1"/>
    <xf numFmtId="0" fontId="62" fillId="0" borderId="4" xfId="0" applyFont="1" applyBorder="1"/>
    <xf numFmtId="178" fontId="55" fillId="0" borderId="19" xfId="0" applyNumberFormat="1" applyFont="1" applyBorder="1"/>
    <xf numFmtId="0" fontId="55" fillId="0" borderId="19" xfId="0" applyFont="1" applyBorder="1"/>
    <xf numFmtId="0" fontId="53" fillId="0" borderId="4" xfId="0" applyFont="1" applyBorder="1"/>
    <xf numFmtId="0" fontId="0" fillId="0" borderId="19" xfId="0" applyBorder="1"/>
    <xf numFmtId="0" fontId="54" fillId="0" borderId="4" xfId="0" applyFont="1" applyBorder="1"/>
    <xf numFmtId="0" fontId="86" fillId="0" borderId="6" xfId="0" applyFont="1" applyBorder="1"/>
    <xf numFmtId="0" fontId="62" fillId="0" borderId="13" xfId="0" applyFont="1" applyBorder="1" applyAlignment="1">
      <alignment horizontal="center"/>
    </xf>
    <xf numFmtId="44" fontId="62" fillId="16" borderId="109" xfId="2" applyFont="1" applyFill="1" applyBorder="1" applyAlignment="1" applyProtection="1">
      <alignment horizontal="center"/>
    </xf>
    <xf numFmtId="0" fontId="133" fillId="30" borderId="0" xfId="0" applyFont="1" applyFill="1"/>
    <xf numFmtId="0" fontId="82" fillId="0" borderId="0" xfId="0" applyFont="1" applyAlignment="1">
      <alignment wrapText="1"/>
    </xf>
    <xf numFmtId="0" fontId="0" fillId="0" borderId="0" xfId="0" applyAlignment="1">
      <alignment wrapText="1" shrinkToFit="1"/>
    </xf>
    <xf numFmtId="2" fontId="56" fillId="31" borderId="8" xfId="0" applyNumberFormat="1" applyFont="1" applyFill="1" applyBorder="1" applyAlignment="1" applyProtection="1">
      <alignment horizontal="center"/>
      <protection locked="0"/>
    </xf>
    <xf numFmtId="2" fontId="56" fillId="31" borderId="13" xfId="0" applyNumberFormat="1" applyFont="1" applyFill="1" applyBorder="1" applyAlignment="1" applyProtection="1">
      <alignment horizontal="center"/>
      <protection locked="0"/>
    </xf>
    <xf numFmtId="2" fontId="56" fillId="31" borderId="7" xfId="0" applyNumberFormat="1" applyFont="1" applyFill="1" applyBorder="1" applyAlignment="1" applyProtection="1">
      <alignment horizontal="center"/>
      <protection locked="0"/>
    </xf>
    <xf numFmtId="14" fontId="56" fillId="3" borderId="15" xfId="0" applyNumberFormat="1" applyFont="1" applyFill="1" applyBorder="1" applyAlignment="1" applyProtection="1">
      <alignment horizontal="center"/>
      <protection locked="0"/>
    </xf>
    <xf numFmtId="0" fontId="0" fillId="20" borderId="6" xfId="0" applyFill="1" applyBorder="1"/>
    <xf numFmtId="10" fontId="58" fillId="2" borderId="18" xfId="0" applyNumberFormat="1" applyFont="1" applyFill="1" applyBorder="1" applyAlignment="1">
      <alignment horizontal="center"/>
    </xf>
    <xf numFmtId="173" fontId="0" fillId="7" borderId="13" xfId="0" applyNumberFormat="1" applyFill="1" applyBorder="1" applyAlignment="1">
      <alignment horizontal="center"/>
    </xf>
    <xf numFmtId="0" fontId="0" fillId="20" borderId="13" xfId="0" applyFill="1" applyBorder="1"/>
    <xf numFmtId="10" fontId="0" fillId="7" borderId="13" xfId="0" applyNumberFormat="1" applyFill="1" applyBorder="1" applyAlignment="1">
      <alignment horizontal="center"/>
    </xf>
    <xf numFmtId="173" fontId="0" fillId="6" borderId="13" xfId="0" applyNumberFormat="1" applyFill="1" applyBorder="1" applyAlignment="1">
      <alignment horizontal="center"/>
    </xf>
    <xf numFmtId="0" fontId="0" fillId="18" borderId="13" xfId="0" applyFill="1" applyBorder="1" applyAlignment="1">
      <alignment vertical="top" wrapText="1"/>
    </xf>
    <xf numFmtId="0" fontId="0" fillId="17" borderId="14" xfId="0" applyFill="1" applyBorder="1"/>
    <xf numFmtId="10" fontId="86" fillId="6" borderId="0" xfId="0" applyNumberFormat="1" applyFont="1" applyFill="1" applyAlignment="1">
      <alignment horizontal="center"/>
    </xf>
    <xf numFmtId="0" fontId="141" fillId="2" borderId="12" xfId="0" applyFont="1" applyFill="1" applyBorder="1" applyAlignment="1">
      <alignment wrapText="1"/>
    </xf>
    <xf numFmtId="173" fontId="0" fillId="6" borderId="4" xfId="0" applyNumberFormat="1" applyFill="1" applyBorder="1" applyAlignment="1">
      <alignment horizontal="center"/>
    </xf>
    <xf numFmtId="10" fontId="79" fillId="6" borderId="12" xfId="0" applyNumberFormat="1" applyFont="1" applyFill="1" applyBorder="1" applyAlignment="1">
      <alignment horizontal="left" wrapText="1"/>
    </xf>
    <xf numFmtId="168" fontId="86" fillId="6" borderId="4" xfId="0" applyNumberFormat="1" applyFont="1" applyFill="1" applyBorder="1"/>
    <xf numFmtId="0" fontId="59" fillId="6" borderId="4" xfId="0" applyFont="1" applyFill="1" applyBorder="1" applyAlignment="1">
      <alignment wrapText="1"/>
    </xf>
    <xf numFmtId="10" fontId="51" fillId="6" borderId="4" xfId="0" applyNumberFormat="1" applyFont="1" applyFill="1" applyBorder="1" applyAlignment="1">
      <alignment horizontal="center" vertical="center" wrapText="1"/>
    </xf>
    <xf numFmtId="10" fontId="79" fillId="6" borderId="4" xfId="0" applyNumberFormat="1" applyFont="1" applyFill="1" applyBorder="1" applyAlignment="1">
      <alignment horizontal="left" wrapText="1"/>
    </xf>
    <xf numFmtId="10" fontId="86" fillId="6" borderId="4" xfId="0" applyNumberFormat="1" applyFont="1" applyFill="1" applyBorder="1" applyAlignment="1">
      <alignment horizontal="center"/>
    </xf>
    <xf numFmtId="44" fontId="128" fillId="6" borderId="4" xfId="2" applyFont="1" applyFill="1" applyBorder="1" applyAlignment="1" applyProtection="1">
      <alignment horizontal="center"/>
    </xf>
    <xf numFmtId="0" fontId="42" fillId="0" borderId="31" xfId="0" applyFont="1" applyBorder="1"/>
    <xf numFmtId="0" fontId="0" fillId="0" borderId="30" xfId="0" applyBorder="1"/>
    <xf numFmtId="3" fontId="0" fillId="0" borderId="0" xfId="0" applyNumberFormat="1"/>
    <xf numFmtId="164" fontId="0" fillId="0" borderId="0" xfId="0" applyNumberFormat="1"/>
    <xf numFmtId="0" fontId="63" fillId="0" borderId="31" xfId="0" applyFont="1" applyBorder="1"/>
    <xf numFmtId="164" fontId="63" fillId="32" borderId="0" xfId="0" applyNumberFormat="1" applyFont="1" applyFill="1"/>
    <xf numFmtId="188" fontId="69" fillId="0" borderId="30" xfId="0" applyNumberFormat="1" applyFont="1" applyBorder="1" applyAlignment="1">
      <alignment horizontal="left"/>
    </xf>
    <xf numFmtId="0" fontId="63" fillId="0" borderId="31" xfId="0" applyFont="1" applyBorder="1" applyAlignment="1">
      <alignment vertical="center"/>
    </xf>
    <xf numFmtId="164" fontId="63" fillId="32" borderId="0" xfId="0" applyNumberFormat="1" applyFont="1" applyFill="1" applyAlignment="1">
      <alignment vertical="center"/>
    </xf>
    <xf numFmtId="188" fontId="69" fillId="0" borderId="30" xfId="0" applyNumberFormat="1" applyFont="1" applyBorder="1" applyAlignment="1">
      <alignment horizontal="left" vertical="center" wrapText="1"/>
    </xf>
    <xf numFmtId="164" fontId="63" fillId="0" borderId="30" xfId="0" applyNumberFormat="1" applyFont="1" applyBorder="1"/>
    <xf numFmtId="0" fontId="63" fillId="0" borderId="61" xfId="0" applyFont="1" applyBorder="1"/>
    <xf numFmtId="164" fontId="63" fillId="26" borderId="62" xfId="0" applyNumberFormat="1" applyFont="1" applyFill="1" applyBorder="1"/>
    <xf numFmtId="187" fontId="68" fillId="18" borderId="30" xfId="0" applyNumberFormat="1" applyFont="1" applyFill="1" applyBorder="1" applyAlignment="1">
      <alignment horizontal="left"/>
    </xf>
    <xf numFmtId="9" fontId="0" fillId="17" borderId="14" xfId="3" applyFont="1" applyFill="1" applyBorder="1"/>
    <xf numFmtId="189" fontId="63" fillId="6" borderId="63" xfId="0" applyNumberFormat="1" applyFont="1" applyFill="1" applyBorder="1" applyAlignment="1">
      <alignment horizontal="center" vertical="center"/>
    </xf>
    <xf numFmtId="0" fontId="0" fillId="0" borderId="9" xfId="0" applyBorder="1" applyAlignment="1">
      <alignment wrapText="1"/>
    </xf>
    <xf numFmtId="189" fontId="145" fillId="8" borderId="11" xfId="0" applyNumberFormat="1" applyFont="1" applyFill="1" applyBorder="1" applyAlignment="1">
      <alignment horizontal="center" vertical="center"/>
    </xf>
    <xf numFmtId="164" fontId="144" fillId="0" borderId="10" xfId="0" applyNumberFormat="1" applyFont="1" applyBorder="1" applyAlignment="1">
      <alignment vertical="center"/>
    </xf>
    <xf numFmtId="0" fontId="0" fillId="16" borderId="0" xfId="0" applyFill="1" applyAlignment="1">
      <alignment horizontal="center" vertical="center"/>
    </xf>
    <xf numFmtId="164" fontId="0" fillId="16" borderId="0" xfId="0" applyNumberFormat="1" applyFill="1" applyAlignment="1">
      <alignment vertical="center"/>
    </xf>
    <xf numFmtId="9" fontId="0" fillId="16" borderId="14" xfId="0" applyNumberFormat="1" applyFill="1" applyBorder="1" applyAlignment="1">
      <alignment horizontal="center"/>
    </xf>
    <xf numFmtId="9" fontId="0" fillId="16" borderId="14" xfId="0" applyNumberFormat="1" applyFill="1" applyBorder="1" applyAlignment="1">
      <alignment horizontal="center" wrapText="1"/>
    </xf>
    <xf numFmtId="9" fontId="0" fillId="6" borderId="4" xfId="0" applyNumberFormat="1" applyFill="1" applyBorder="1" applyAlignment="1">
      <alignment horizontal="center"/>
    </xf>
    <xf numFmtId="9" fontId="0" fillId="6" borderId="0" xfId="0" applyNumberFormat="1" applyFill="1" applyAlignment="1">
      <alignment horizontal="center"/>
    </xf>
    <xf numFmtId="0" fontId="67" fillId="0" borderId="31" xfId="0" applyFont="1" applyBorder="1"/>
    <xf numFmtId="14" fontId="121" fillId="8" borderId="0" xfId="0" applyNumberFormat="1" applyFont="1" applyFill="1"/>
    <xf numFmtId="14" fontId="58" fillId="8" borderId="0" xfId="0" applyNumberFormat="1" applyFont="1" applyFill="1"/>
    <xf numFmtId="14" fontId="112" fillId="8" borderId="0" xfId="0" applyNumberFormat="1" applyFont="1" applyFill="1"/>
    <xf numFmtId="14" fontId="74" fillId="8" borderId="0" xfId="0" applyNumberFormat="1" applyFont="1" applyFill="1"/>
    <xf numFmtId="14" fontId="0" fillId="8" borderId="0" xfId="0" applyNumberFormat="1" applyFill="1"/>
    <xf numFmtId="0" fontId="0" fillId="8" borderId="0" xfId="0" applyFill="1"/>
    <xf numFmtId="0" fontId="121" fillId="8" borderId="0" xfId="0" applyFont="1" applyFill="1"/>
    <xf numFmtId="0" fontId="112" fillId="8" borderId="0" xfId="0" applyFont="1" applyFill="1"/>
    <xf numFmtId="0" fontId="58" fillId="8" borderId="0" xfId="0" applyFont="1" applyFill="1"/>
    <xf numFmtId="0" fontId="54" fillId="8" borderId="0" xfId="0" applyFont="1" applyFill="1"/>
    <xf numFmtId="0" fontId="86" fillId="8" borderId="0" xfId="0" applyFont="1" applyFill="1"/>
    <xf numFmtId="0" fontId="123" fillId="8" borderId="0" xfId="0" applyFont="1" applyFill="1"/>
    <xf numFmtId="0" fontId="0" fillId="18" borderId="0" xfId="0" applyFill="1"/>
    <xf numFmtId="10" fontId="58" fillId="16" borderId="30" xfId="0" applyNumberFormat="1" applyFont="1" applyFill="1" applyBorder="1" applyAlignment="1">
      <alignment horizontal="left"/>
    </xf>
    <xf numFmtId="0" fontId="147" fillId="0" borderId="14" xfId="0" applyFont="1" applyBorder="1"/>
    <xf numFmtId="10" fontId="147" fillId="16" borderId="14" xfId="3" applyNumberFormat="1" applyFont="1" applyFill="1" applyBorder="1"/>
    <xf numFmtId="0" fontId="0" fillId="0" borderId="0" xfId="0" applyAlignment="1">
      <alignment horizontal="center" vertical="center"/>
    </xf>
    <xf numFmtId="0" fontId="41" fillId="8" borderId="0" xfId="0" applyFont="1" applyFill="1"/>
    <xf numFmtId="0" fontId="148" fillId="8" borderId="0" xfId="0" applyFont="1" applyFill="1"/>
    <xf numFmtId="0" fontId="149" fillId="8" borderId="0" xfId="0" applyFont="1" applyFill="1"/>
    <xf numFmtId="0" fontId="150" fillId="8" borderId="0" xfId="0" applyFont="1" applyFill="1"/>
    <xf numFmtId="6" fontId="0" fillId="8" borderId="0" xfId="0" applyNumberFormat="1" applyFill="1"/>
    <xf numFmtId="0" fontId="99" fillId="8" borderId="0" xfId="0" applyFont="1" applyFill="1"/>
    <xf numFmtId="6" fontId="0" fillId="8" borderId="0" xfId="0" applyNumberFormat="1" applyFill="1" applyAlignment="1">
      <alignment horizontal="left"/>
    </xf>
    <xf numFmtId="0" fontId="58" fillId="8" borderId="7" xfId="0" applyFont="1" applyFill="1" applyBorder="1"/>
    <xf numFmtId="0" fontId="59" fillId="8" borderId="0" xfId="0" applyFont="1" applyFill="1"/>
    <xf numFmtId="164" fontId="0" fillId="7" borderId="0" xfId="0" applyNumberFormat="1" applyFill="1"/>
    <xf numFmtId="0" fontId="61" fillId="8" borderId="0" xfId="0" applyFont="1" applyFill="1"/>
    <xf numFmtId="10" fontId="72" fillId="17" borderId="12" xfId="0" applyNumberFormat="1" applyFont="1" applyFill="1" applyBorder="1" applyAlignment="1" applyProtection="1">
      <alignment horizontal="center" vertical="center" wrapText="1"/>
      <protection locked="0"/>
    </xf>
    <xf numFmtId="10" fontId="146" fillId="17" borderId="12" xfId="0" applyNumberFormat="1" applyFont="1" applyFill="1" applyBorder="1" applyAlignment="1" applyProtection="1">
      <alignment horizontal="center"/>
      <protection locked="0"/>
    </xf>
    <xf numFmtId="0" fontId="0" fillId="16" borderId="12" xfId="0" applyFill="1" applyBorder="1" applyAlignment="1">
      <alignment horizontal="right"/>
    </xf>
    <xf numFmtId="44" fontId="0" fillId="17" borderId="23" xfId="2" applyFont="1" applyFill="1" applyBorder="1" applyAlignment="1" applyProtection="1">
      <alignment vertical="center"/>
      <protection locked="0"/>
    </xf>
    <xf numFmtId="44" fontId="0" fillId="16" borderId="122" xfId="2" applyFont="1" applyFill="1" applyBorder="1" applyAlignment="1" applyProtection="1">
      <alignment vertical="center"/>
    </xf>
    <xf numFmtId="175" fontId="0" fillId="23" borderId="12" xfId="0" applyNumberFormat="1" applyFill="1" applyBorder="1" applyAlignment="1">
      <alignment horizontal="right"/>
    </xf>
    <xf numFmtId="175" fontId="0" fillId="6" borderId="12" xfId="0" applyNumberFormat="1" applyFill="1" applyBorder="1" applyAlignment="1">
      <alignment horizontal="right"/>
    </xf>
    <xf numFmtId="176" fontId="0" fillId="6" borderId="12" xfId="0" applyNumberFormat="1" applyFill="1" applyBorder="1" applyAlignment="1">
      <alignment horizontal="right"/>
    </xf>
    <xf numFmtId="0" fontId="59" fillId="2" borderId="14" xfId="0" applyFont="1" applyFill="1" applyBorder="1" applyAlignment="1">
      <alignment vertical="center"/>
    </xf>
    <xf numFmtId="0" fontId="59" fillId="2" borderId="14" xfId="0" applyFont="1" applyFill="1" applyBorder="1" applyAlignment="1">
      <alignment horizontal="left" vertical="center"/>
    </xf>
    <xf numFmtId="0" fontId="58" fillId="0" borderId="3" xfId="0" applyFont="1" applyBorder="1" applyAlignment="1" applyProtection="1">
      <alignment wrapText="1"/>
      <protection hidden="1"/>
    </xf>
    <xf numFmtId="0" fontId="58" fillId="0" borderId="5" xfId="0" applyFont="1" applyBorder="1" applyAlignment="1" applyProtection="1">
      <alignment wrapText="1"/>
      <protection hidden="1"/>
    </xf>
    <xf numFmtId="0" fontId="133" fillId="2" borderId="4" xfId="0" applyFont="1" applyFill="1" applyBorder="1" applyAlignment="1" applyProtection="1">
      <alignment vertical="center" wrapText="1"/>
      <protection hidden="1"/>
    </xf>
    <xf numFmtId="0" fontId="133" fillId="2" borderId="0" xfId="0" applyFont="1" applyFill="1" applyAlignment="1" applyProtection="1">
      <alignment vertical="center" wrapText="1"/>
      <protection hidden="1"/>
    </xf>
    <xf numFmtId="0" fontId="40" fillId="7" borderId="18" xfId="0" applyFont="1" applyFill="1" applyBorder="1" applyAlignment="1" applyProtection="1">
      <alignment horizontal="left"/>
      <protection hidden="1"/>
    </xf>
    <xf numFmtId="10" fontId="0" fillId="17" borderId="14" xfId="3" applyNumberFormat="1" applyFont="1" applyFill="1" applyBorder="1" applyAlignment="1" applyProtection="1"/>
    <xf numFmtId="10" fontId="0" fillId="17" borderId="14" xfId="3" applyNumberFormat="1" applyFont="1" applyFill="1" applyBorder="1"/>
    <xf numFmtId="10" fontId="0" fillId="17" borderId="14" xfId="3" applyNumberFormat="1" applyFont="1" applyFill="1" applyBorder="1" applyAlignment="1" applyProtection="1">
      <alignment wrapText="1"/>
    </xf>
    <xf numFmtId="0" fontId="58" fillId="6" borderId="0" xfId="0" applyFont="1" applyFill="1" applyProtection="1">
      <protection hidden="1"/>
    </xf>
    <xf numFmtId="0" fontId="57" fillId="6" borderId="0" xfId="0" applyFont="1" applyFill="1"/>
    <xf numFmtId="0" fontId="57" fillId="6" borderId="4" xfId="0" applyFont="1" applyFill="1" applyBorder="1"/>
    <xf numFmtId="0" fontId="57" fillId="6" borderId="5" xfId="0" applyFont="1" applyFill="1" applyBorder="1"/>
    <xf numFmtId="0" fontId="57" fillId="6" borderId="0" xfId="0" applyFont="1" applyFill="1" applyAlignment="1">
      <alignment horizontal="left"/>
    </xf>
    <xf numFmtId="0" fontId="70" fillId="0" borderId="0" xfId="1" applyAlignment="1" applyProtection="1"/>
    <xf numFmtId="0" fontId="63" fillId="6" borderId="4" xfId="0" applyFont="1" applyFill="1" applyBorder="1"/>
    <xf numFmtId="0" fontId="94" fillId="6" borderId="0" xfId="0" applyFont="1" applyFill="1"/>
    <xf numFmtId="0" fontId="57" fillId="6" borderId="7" xfId="0" applyFont="1" applyFill="1" applyBorder="1"/>
    <xf numFmtId="0" fontId="57" fillId="6" borderId="8" xfId="0" applyFont="1" applyFill="1" applyBorder="1"/>
    <xf numFmtId="0" fontId="68" fillId="6" borderId="0" xfId="0" applyFont="1" applyFill="1"/>
    <xf numFmtId="0" fontId="68" fillId="6" borderId="5" xfId="0" applyFont="1" applyFill="1" applyBorder="1"/>
    <xf numFmtId="0" fontId="60" fillId="6" borderId="4" xfId="0" applyFont="1" applyFill="1" applyBorder="1"/>
    <xf numFmtId="0" fontId="95" fillId="6" borderId="5" xfId="0" applyFont="1" applyFill="1" applyBorder="1"/>
    <xf numFmtId="0" fontId="57" fillId="6" borderId="6" xfId="0" applyFont="1" applyFill="1" applyBorder="1"/>
    <xf numFmtId="0" fontId="58" fillId="6" borderId="0" xfId="0" applyFont="1" applyFill="1"/>
    <xf numFmtId="0" fontId="71" fillId="6" borderId="0" xfId="0" applyFont="1" applyFill="1"/>
    <xf numFmtId="0" fontId="73" fillId="0" borderId="0" xfId="0" applyFont="1"/>
    <xf numFmtId="175" fontId="48" fillId="6" borderId="20" xfId="0" applyNumberFormat="1" applyFont="1" applyFill="1" applyBorder="1" applyAlignment="1" applyProtection="1">
      <alignment horizontal="center"/>
      <protection hidden="1"/>
    </xf>
    <xf numFmtId="176" fontId="48" fillId="6" borderId="20" xfId="0" applyNumberFormat="1" applyFont="1" applyFill="1" applyBorder="1" applyProtection="1">
      <protection hidden="1"/>
    </xf>
    <xf numFmtId="44" fontId="86" fillId="6" borderId="20" xfId="2" applyFont="1" applyFill="1" applyBorder="1" applyAlignment="1" applyProtection="1">
      <alignment horizontal="center"/>
      <protection hidden="1"/>
    </xf>
    <xf numFmtId="44" fontId="86" fillId="6" borderId="14" xfId="2" applyFont="1" applyFill="1" applyBorder="1" applyAlignment="1" applyProtection="1">
      <alignment horizontal="center"/>
      <protection hidden="1"/>
    </xf>
    <xf numFmtId="44" fontId="86" fillId="6" borderId="0" xfId="2" applyFont="1" applyFill="1" applyBorder="1" applyAlignment="1" applyProtection="1">
      <alignment horizontal="center"/>
      <protection hidden="1"/>
    </xf>
    <xf numFmtId="175" fontId="62" fillId="16" borderId="18" xfId="0" applyNumberFormat="1" applyFont="1" applyFill="1" applyBorder="1" applyAlignment="1" applyProtection="1">
      <alignment horizontal="center"/>
      <protection hidden="1"/>
    </xf>
    <xf numFmtId="176" fontId="62" fillId="16" borderId="18" xfId="0" applyNumberFormat="1" applyFont="1" applyFill="1" applyBorder="1" applyProtection="1">
      <protection hidden="1"/>
    </xf>
    <xf numFmtId="0" fontId="59" fillId="16" borderId="18" xfId="0" applyFont="1" applyFill="1" applyBorder="1" applyProtection="1">
      <protection hidden="1"/>
    </xf>
    <xf numFmtId="0" fontId="59" fillId="16" borderId="13" xfId="0" applyFont="1" applyFill="1" applyBorder="1" applyProtection="1">
      <protection hidden="1"/>
    </xf>
    <xf numFmtId="175" fontId="62" fillId="19" borderId="14" xfId="0" applyNumberFormat="1" applyFont="1" applyFill="1" applyBorder="1" applyAlignment="1" applyProtection="1">
      <alignment horizontal="center" wrapText="1"/>
      <protection hidden="1"/>
    </xf>
    <xf numFmtId="176" fontId="62" fillId="19" borderId="14" xfId="0" applyNumberFormat="1" applyFont="1" applyFill="1" applyBorder="1" applyAlignment="1" applyProtection="1">
      <alignment wrapText="1"/>
      <protection hidden="1"/>
    </xf>
    <xf numFmtId="44" fontId="62" fillId="16" borderId="12" xfId="2" applyFont="1" applyFill="1" applyBorder="1" applyAlignment="1" applyProtection="1">
      <alignment horizontal="left"/>
      <protection hidden="1"/>
    </xf>
    <xf numFmtId="44" fontId="62" fillId="16" borderId="18" xfId="2" applyFont="1" applyFill="1" applyBorder="1" applyAlignment="1" applyProtection="1">
      <alignment horizontal="left"/>
      <protection hidden="1"/>
    </xf>
    <xf numFmtId="44" fontId="62" fillId="16" borderId="13" xfId="2" applyFont="1" applyFill="1" applyBorder="1" applyAlignment="1" applyProtection="1">
      <alignment horizontal="left"/>
      <protection hidden="1"/>
    </xf>
    <xf numFmtId="175" fontId="62" fillId="16" borderId="12" xfId="0" applyNumberFormat="1" applyFont="1" applyFill="1" applyBorder="1" applyAlignment="1" applyProtection="1">
      <alignment horizontal="left"/>
      <protection hidden="1"/>
    </xf>
    <xf numFmtId="44" fontId="141" fillId="19" borderId="19" xfId="2" applyFont="1" applyFill="1" applyBorder="1" applyAlignment="1" applyProtection="1">
      <alignment horizontal="center" wrapText="1"/>
      <protection hidden="1"/>
    </xf>
    <xf numFmtId="182" fontId="48" fillId="6" borderId="14" xfId="0" applyNumberFormat="1" applyFont="1" applyFill="1" applyBorder="1" applyAlignment="1" applyProtection="1">
      <alignment horizontal="center"/>
      <protection hidden="1"/>
    </xf>
    <xf numFmtId="10" fontId="48" fillId="6" borderId="13" xfId="0" applyNumberFormat="1" applyFont="1" applyFill="1" applyBorder="1" applyAlignment="1" applyProtection="1">
      <alignment horizontal="center"/>
      <protection hidden="1"/>
    </xf>
    <xf numFmtId="10" fontId="146" fillId="17" borderId="14" xfId="0" applyNumberFormat="1" applyFont="1" applyFill="1" applyBorder="1" applyAlignment="1" applyProtection="1">
      <alignment horizontal="center"/>
      <protection locked="0"/>
    </xf>
    <xf numFmtId="168" fontId="0" fillId="0" borderId="4" xfId="0" applyNumberFormat="1" applyBorder="1"/>
    <xf numFmtId="0" fontId="63" fillId="6" borderId="0" xfId="0" applyFont="1" applyFill="1" applyAlignment="1">
      <alignment wrapText="1"/>
    </xf>
    <xf numFmtId="0" fontId="67" fillId="0" borderId="4" xfId="0" applyFont="1" applyBorder="1"/>
    <xf numFmtId="0" fontId="136" fillId="0" borderId="0" xfId="0" applyFont="1"/>
    <xf numFmtId="0" fontId="82" fillId="0" borderId="0" xfId="0" applyFont="1" applyAlignment="1">
      <alignment horizontal="left" vertical="top" wrapText="1"/>
    </xf>
    <xf numFmtId="0" fontId="82" fillId="0" borderId="0" xfId="0" applyFont="1" applyAlignment="1">
      <alignment vertical="top" wrapText="1"/>
    </xf>
    <xf numFmtId="0" fontId="65" fillId="23" borderId="0" xfId="0" applyFont="1" applyFill="1" applyProtection="1">
      <protection hidden="1"/>
    </xf>
    <xf numFmtId="0" fontId="65" fillId="34" borderId="0" xfId="0" applyFont="1" applyFill="1" applyProtection="1">
      <protection hidden="1"/>
    </xf>
    <xf numFmtId="0" fontId="65" fillId="33" borderId="0" xfId="0" applyFont="1" applyFill="1" applyProtection="1">
      <protection hidden="1"/>
    </xf>
    <xf numFmtId="0" fontId="67" fillId="33" borderId="0" xfId="0" applyFont="1" applyFill="1" applyProtection="1">
      <protection hidden="1"/>
    </xf>
    <xf numFmtId="0" fontId="128" fillId="33" borderId="0" xfId="0" applyFont="1" applyFill="1" applyProtection="1">
      <protection hidden="1"/>
    </xf>
    <xf numFmtId="0" fontId="67" fillId="33" borderId="0" xfId="0" applyFont="1" applyFill="1" applyAlignment="1" applyProtection="1">
      <alignment horizontal="center" vertical="center"/>
      <protection hidden="1"/>
    </xf>
    <xf numFmtId="0" fontId="68" fillId="35" borderId="0" xfId="18" applyFill="1" applyAlignment="1">
      <alignment vertical="center" wrapText="1"/>
    </xf>
    <xf numFmtId="0" fontId="63" fillId="0" borderId="14" xfId="18" applyFont="1" applyBorder="1" applyAlignment="1">
      <alignment horizontal="center" vertical="center" wrapText="1"/>
    </xf>
    <xf numFmtId="0" fontId="38" fillId="0" borderId="123" xfId="0" applyFont="1" applyBorder="1" applyAlignment="1">
      <alignment vertical="top" wrapText="1"/>
    </xf>
    <xf numFmtId="0" fontId="38" fillId="0" borderId="0" xfId="0" applyFont="1"/>
    <xf numFmtId="0" fontId="38" fillId="0" borderId="21" xfId="0" applyFont="1" applyBorder="1" applyAlignment="1">
      <alignment vertical="top" wrapText="1"/>
    </xf>
    <xf numFmtId="14" fontId="68" fillId="0" borderId="20" xfId="18" applyNumberFormat="1" applyBorder="1" applyAlignment="1">
      <alignment horizontal="center" vertical="top" wrapText="1"/>
    </xf>
    <xf numFmtId="0" fontId="68" fillId="0" borderId="20" xfId="18" applyBorder="1" applyAlignment="1">
      <alignment horizontal="left" vertical="top" wrapText="1"/>
    </xf>
    <xf numFmtId="0" fontId="37" fillId="2" borderId="13" xfId="0" applyFont="1" applyFill="1" applyBorder="1" applyAlignment="1" applyProtection="1">
      <alignment horizontal="center"/>
      <protection hidden="1"/>
    </xf>
    <xf numFmtId="190" fontId="0" fillId="6" borderId="14" xfId="0" applyNumberFormat="1" applyFill="1" applyBorder="1" applyAlignment="1">
      <alignment vertical="top" wrapText="1"/>
    </xf>
    <xf numFmtId="44" fontId="0" fillId="0" borderId="0" xfId="2" applyFont="1"/>
    <xf numFmtId="0" fontId="56" fillId="2" borderId="14" xfId="0" applyFont="1" applyFill="1" applyBorder="1" applyAlignment="1" applyProtection="1">
      <alignment horizontal="center"/>
      <protection hidden="1"/>
    </xf>
    <xf numFmtId="190" fontId="0" fillId="18" borderId="14" xfId="0" applyNumberFormat="1" applyFill="1" applyBorder="1" applyAlignment="1">
      <alignment vertical="top" wrapText="1"/>
    </xf>
    <xf numFmtId="14" fontId="36" fillId="0" borderId="123" xfId="0" applyNumberFormat="1" applyFont="1" applyBorder="1" applyAlignment="1">
      <alignment horizontal="center" vertical="top" wrapText="1"/>
    </xf>
    <xf numFmtId="14" fontId="36" fillId="0" borderId="21" xfId="0" applyNumberFormat="1" applyFont="1" applyBorder="1" applyAlignment="1">
      <alignment horizontal="center" vertical="top" wrapText="1"/>
    </xf>
    <xf numFmtId="0" fontId="36" fillId="0" borderId="0" xfId="0" applyFont="1"/>
    <xf numFmtId="0" fontId="35" fillId="0" borderId="14" xfId="0" applyFont="1" applyBorder="1" applyAlignment="1">
      <alignment vertical="top" wrapText="1"/>
    </xf>
    <xf numFmtId="0" fontId="34" fillId="0" borderId="14" xfId="0" applyFont="1" applyBorder="1" applyAlignment="1">
      <alignment vertical="top" wrapText="1"/>
    </xf>
    <xf numFmtId="0" fontId="33" fillId="0" borderId="123" xfId="0" applyFont="1" applyBorder="1" applyAlignment="1">
      <alignment vertical="top" wrapText="1"/>
    </xf>
    <xf numFmtId="0" fontId="33" fillId="0" borderId="124" xfId="0" applyFont="1" applyBorder="1" applyAlignment="1">
      <alignment vertical="top" wrapText="1"/>
    </xf>
    <xf numFmtId="0" fontId="32" fillId="0" borderId="124" xfId="0" applyFont="1" applyBorder="1" applyAlignment="1">
      <alignment vertical="top" wrapText="1"/>
    </xf>
    <xf numFmtId="0" fontId="35" fillId="0" borderId="125" xfId="0" applyFont="1" applyBorder="1" applyAlignment="1">
      <alignment vertical="top" wrapText="1"/>
    </xf>
    <xf numFmtId="0" fontId="34" fillId="0" borderId="125" xfId="0" applyFont="1" applyBorder="1" applyAlignment="1">
      <alignment vertical="top" wrapText="1"/>
    </xf>
    <xf numFmtId="0" fontId="31" fillId="0" borderId="123" xfId="0" applyFont="1" applyBorder="1" applyAlignment="1">
      <alignment vertical="top" wrapText="1"/>
    </xf>
    <xf numFmtId="0" fontId="30" fillId="0" borderId="125" xfId="0" applyFont="1" applyBorder="1" applyAlignment="1">
      <alignment vertical="top" wrapText="1"/>
    </xf>
    <xf numFmtId="0" fontId="29" fillId="0" borderId="14" xfId="0" applyFont="1" applyBorder="1" applyAlignment="1">
      <alignment vertical="top" wrapText="1"/>
    </xf>
    <xf numFmtId="0" fontId="28" fillId="0" borderId="14" xfId="0" applyFont="1" applyBorder="1" applyAlignment="1">
      <alignment vertical="top" wrapText="1"/>
    </xf>
    <xf numFmtId="0" fontId="27" fillId="0" borderId="14" xfId="0" applyFont="1" applyBorder="1" applyAlignment="1">
      <alignment vertical="top" wrapText="1"/>
    </xf>
    <xf numFmtId="14" fontId="62" fillId="3" borderId="14" xfId="0" applyNumberFormat="1" applyFont="1" applyFill="1" applyBorder="1" applyAlignment="1" applyProtection="1">
      <alignment horizontal="center"/>
      <protection locked="0"/>
    </xf>
    <xf numFmtId="191" fontId="0" fillId="17" borderId="14" xfId="0" applyNumberFormat="1" applyFill="1" applyBorder="1" applyProtection="1">
      <protection locked="0"/>
    </xf>
    <xf numFmtId="0" fontId="63" fillId="6" borderId="0" xfId="0" applyFont="1" applyFill="1"/>
    <xf numFmtId="1" fontId="61" fillId="17" borderId="21" xfId="0" applyNumberFormat="1" applyFont="1" applyFill="1" applyBorder="1" applyAlignment="1" applyProtection="1">
      <alignment horizontal="right"/>
      <protection locked="0"/>
    </xf>
    <xf numFmtId="0" fontId="63" fillId="6" borderId="0" xfId="0" applyFont="1" applyFill="1" applyAlignment="1">
      <alignment horizontal="right"/>
    </xf>
    <xf numFmtId="0" fontId="25" fillId="0" borderId="14" xfId="0" applyFont="1" applyBorder="1" applyAlignment="1">
      <alignment vertical="top" wrapText="1"/>
    </xf>
    <xf numFmtId="181" fontId="67" fillId="0" borderId="111" xfId="3" applyNumberFormat="1" applyFont="1" applyBorder="1" applyAlignment="1">
      <alignment horizontal="center" wrapText="1"/>
    </xf>
    <xf numFmtId="181" fontId="67" fillId="0" borderId="114" xfId="3" applyNumberFormat="1" applyFont="1" applyBorder="1" applyAlignment="1">
      <alignment horizontal="center" wrapText="1"/>
    </xf>
    <xf numFmtId="9" fontId="61" fillId="16" borderId="14" xfId="3" applyFont="1" applyFill="1" applyBorder="1" applyProtection="1"/>
    <xf numFmtId="0" fontId="153" fillId="33" borderId="0" xfId="0" applyFont="1" applyFill="1" applyProtection="1">
      <protection hidden="1"/>
    </xf>
    <xf numFmtId="192" fontId="60" fillId="6" borderId="0" xfId="0" applyNumberFormat="1" applyFont="1" applyFill="1"/>
    <xf numFmtId="0" fontId="36" fillId="0" borderId="126" xfId="0" applyFont="1" applyBorder="1" applyAlignment="1">
      <alignment vertical="top" wrapText="1"/>
    </xf>
    <xf numFmtId="0" fontId="38" fillId="0" borderId="126" xfId="0" applyFont="1" applyBorder="1" applyAlignment="1">
      <alignment vertical="top" wrapText="1"/>
    </xf>
    <xf numFmtId="0" fontId="36" fillId="0" borderId="127" xfId="0" applyFont="1" applyBorder="1" applyAlignment="1">
      <alignment vertical="top" wrapText="1"/>
    </xf>
    <xf numFmtId="0" fontId="38" fillId="0" borderId="127" xfId="0" applyFont="1" applyBorder="1" applyAlignment="1">
      <alignment vertical="top" wrapText="1"/>
    </xf>
    <xf numFmtId="0" fontId="36" fillId="0" borderId="127" xfId="0" applyFont="1" applyBorder="1"/>
    <xf numFmtId="0" fontId="36" fillId="0" borderId="127" xfId="0" applyFont="1" applyBorder="1" applyAlignment="1">
      <alignment wrapText="1"/>
    </xf>
    <xf numFmtId="0" fontId="0" fillId="0" borderId="127" xfId="0" applyBorder="1"/>
    <xf numFmtId="0" fontId="36" fillId="0" borderId="128" xfId="0" applyFont="1" applyBorder="1" applyAlignment="1">
      <alignment vertical="top" wrapText="1"/>
    </xf>
    <xf numFmtId="0" fontId="36" fillId="6" borderId="128" xfId="0" applyFont="1" applyFill="1" applyBorder="1" applyAlignment="1" applyProtection="1">
      <alignment vertical="top" wrapText="1"/>
      <protection hidden="1"/>
    </xf>
    <xf numFmtId="14" fontId="36" fillId="0" borderId="19" xfId="0" applyNumberFormat="1" applyFont="1" applyBorder="1" applyAlignment="1">
      <alignment vertical="top" wrapText="1"/>
    </xf>
    <xf numFmtId="14" fontId="36" fillId="0" borderId="19" xfId="0" applyNumberFormat="1" applyFont="1" applyBorder="1"/>
    <xf numFmtId="14" fontId="36" fillId="0" borderId="21" xfId="0" applyNumberFormat="1" applyFont="1" applyBorder="1" applyAlignment="1">
      <alignment vertical="top" wrapText="1"/>
    </xf>
    <xf numFmtId="14" fontId="36" fillId="0" borderId="21" xfId="0" applyNumberFormat="1" applyFont="1" applyBorder="1"/>
    <xf numFmtId="0" fontId="26" fillId="0" borderId="129" xfId="0" applyFont="1" applyBorder="1" applyAlignment="1">
      <alignment vertical="top" wrapText="1"/>
    </xf>
    <xf numFmtId="0" fontId="0" fillId="0" borderId="129" xfId="0" applyBorder="1"/>
    <xf numFmtId="0" fontId="26" fillId="0" borderId="130" xfId="0" applyFont="1" applyBorder="1" applyAlignment="1">
      <alignment vertical="top" wrapText="1"/>
    </xf>
    <xf numFmtId="0" fontId="26" fillId="0" borderId="131" xfId="0" applyFont="1" applyBorder="1" applyAlignment="1">
      <alignment vertical="top" wrapText="1"/>
    </xf>
    <xf numFmtId="0" fontId="24" fillId="0" borderId="126" xfId="0" applyFont="1" applyBorder="1" applyAlignment="1">
      <alignment vertical="top" wrapText="1"/>
    </xf>
    <xf numFmtId="0" fontId="24" fillId="0" borderId="126" xfId="0" applyFont="1" applyBorder="1" applyAlignment="1">
      <alignment wrapText="1"/>
    </xf>
    <xf numFmtId="0" fontId="24" fillId="0" borderId="127" xfId="0" applyFont="1" applyBorder="1" applyAlignment="1">
      <alignment vertical="top" wrapText="1"/>
    </xf>
    <xf numFmtId="0" fontId="24" fillId="0" borderId="127" xfId="0" applyFont="1" applyBorder="1"/>
    <xf numFmtId="0" fontId="86" fillId="0" borderId="127" xfId="0" applyFont="1" applyBorder="1"/>
    <xf numFmtId="0" fontId="86" fillId="0" borderId="127" xfId="0" applyFont="1" applyBorder="1" applyAlignment="1">
      <alignment wrapText="1"/>
    </xf>
    <xf numFmtId="0" fontId="23" fillId="0" borderId="127" xfId="0" applyFont="1" applyBorder="1" applyAlignment="1">
      <alignment vertical="top" wrapText="1"/>
    </xf>
    <xf numFmtId="0" fontId="23" fillId="0" borderId="128" xfId="0" applyFont="1" applyBorder="1" applyAlignment="1">
      <alignment vertical="top" wrapText="1"/>
    </xf>
    <xf numFmtId="0" fontId="24" fillId="0" borderId="128" xfId="0" applyFont="1" applyBorder="1" applyAlignment="1">
      <alignment vertical="top" wrapText="1"/>
    </xf>
    <xf numFmtId="0" fontId="24" fillId="0" borderId="128" xfId="0" applyFont="1" applyBorder="1"/>
    <xf numFmtId="14" fontId="24" fillId="0" borderId="19" xfId="0" applyNumberFormat="1" applyFont="1" applyBorder="1"/>
    <xf numFmtId="14" fontId="24" fillId="0" borderId="21" xfId="0" applyNumberFormat="1" applyFont="1" applyBorder="1"/>
    <xf numFmtId="0" fontId="22" fillId="37" borderId="126" xfId="0" applyFont="1" applyFill="1" applyBorder="1" applyAlignment="1">
      <alignment vertical="top" wrapText="1"/>
    </xf>
    <xf numFmtId="0" fontId="22" fillId="37" borderId="126" xfId="0" applyFont="1" applyFill="1" applyBorder="1" applyAlignment="1">
      <alignment vertical="top"/>
    </xf>
    <xf numFmtId="0" fontId="22" fillId="37" borderId="127" xfId="0" applyFont="1" applyFill="1" applyBorder="1" applyAlignment="1">
      <alignment vertical="top" wrapText="1"/>
    </xf>
    <xf numFmtId="0" fontId="22" fillId="37" borderId="127" xfId="0" applyFont="1" applyFill="1" applyBorder="1" applyAlignment="1">
      <alignment vertical="top"/>
    </xf>
    <xf numFmtId="0" fontId="22" fillId="37" borderId="128" xfId="0" applyFont="1" applyFill="1" applyBorder="1" applyAlignment="1">
      <alignment vertical="top" wrapText="1"/>
    </xf>
    <xf numFmtId="14" fontId="22" fillId="37" borderId="19" xfId="0" applyNumberFormat="1" applyFont="1" applyFill="1" applyBorder="1" applyAlignment="1">
      <alignment vertical="top"/>
    </xf>
    <xf numFmtId="14" fontId="22" fillId="37" borderId="21" xfId="0" applyNumberFormat="1" applyFont="1" applyFill="1" applyBorder="1" applyAlignment="1">
      <alignment vertical="top" wrapText="1"/>
    </xf>
    <xf numFmtId="14" fontId="22" fillId="37" borderId="20" xfId="0" applyNumberFormat="1" applyFont="1" applyFill="1" applyBorder="1" applyAlignment="1">
      <alignment horizontal="center" vertical="top"/>
    </xf>
    <xf numFmtId="14" fontId="36" fillId="0" borderId="14" xfId="0" applyNumberFormat="1" applyFont="1" applyBorder="1" applyAlignment="1">
      <alignment horizontal="center"/>
    </xf>
    <xf numFmtId="14" fontId="36" fillId="0" borderId="20" xfId="0" applyNumberFormat="1" applyFont="1" applyBorder="1" applyAlignment="1">
      <alignment horizontal="center" wrapText="1"/>
    </xf>
    <xf numFmtId="14" fontId="24" fillId="0" borderId="19" xfId="0" applyNumberFormat="1" applyFont="1" applyBorder="1" applyAlignment="1">
      <alignment horizontal="center"/>
    </xf>
    <xf numFmtId="14" fontId="28" fillId="6" borderId="14" xfId="0" applyNumberFormat="1" applyFont="1" applyFill="1" applyBorder="1" applyAlignment="1">
      <alignment horizontal="center" vertical="top" wrapText="1"/>
    </xf>
    <xf numFmtId="14" fontId="36" fillId="0" borderId="20" xfId="0" applyNumberFormat="1" applyFont="1" applyBorder="1" applyAlignment="1">
      <alignment horizontal="center"/>
    </xf>
    <xf numFmtId="0" fontId="17" fillId="0" borderId="0" xfId="0" applyFont="1" applyProtection="1">
      <protection hidden="1"/>
    </xf>
    <xf numFmtId="0" fontId="14" fillId="0" borderId="127" xfId="0" applyFont="1" applyBorder="1" applyAlignment="1">
      <alignment vertical="top" wrapText="1"/>
    </xf>
    <xf numFmtId="0" fontId="14" fillId="37" borderId="127" xfId="0" applyFont="1" applyFill="1" applyBorder="1" applyAlignment="1">
      <alignment vertical="top" wrapText="1"/>
    </xf>
    <xf numFmtId="0" fontId="13" fillId="2" borderId="13" xfId="0" applyFont="1" applyFill="1" applyBorder="1" applyAlignment="1">
      <alignment horizontal="center" vertical="center" wrapText="1"/>
    </xf>
    <xf numFmtId="0" fontId="13" fillId="0" borderId="14" xfId="0" applyFont="1" applyBorder="1" applyProtection="1">
      <protection hidden="1"/>
    </xf>
    <xf numFmtId="0" fontId="56" fillId="6" borderId="0" xfId="0" applyFont="1" applyFill="1" applyAlignment="1" applyProtection="1">
      <alignment horizontal="center"/>
      <protection hidden="1"/>
    </xf>
    <xf numFmtId="0" fontId="12" fillId="24" borderId="100" xfId="0" applyFont="1" applyFill="1" applyBorder="1" applyAlignment="1">
      <alignment wrapText="1"/>
    </xf>
    <xf numFmtId="0" fontId="12" fillId="24" borderId="132" xfId="0" applyFont="1" applyFill="1" applyBorder="1" applyAlignment="1">
      <alignment wrapText="1"/>
    </xf>
    <xf numFmtId="0" fontId="12" fillId="24" borderId="97" xfId="0" applyFont="1" applyFill="1" applyBorder="1" applyAlignment="1">
      <alignment vertical="top" wrapText="1"/>
    </xf>
    <xf numFmtId="0" fontId="12" fillId="24" borderId="105" xfId="0" applyFont="1" applyFill="1" applyBorder="1" applyAlignment="1">
      <alignment vertical="top" wrapText="1"/>
    </xf>
    <xf numFmtId="0" fontId="12" fillId="17" borderId="133" xfId="0" applyFont="1" applyFill="1" applyBorder="1" applyAlignment="1">
      <alignment wrapText="1"/>
    </xf>
    <xf numFmtId="0" fontId="12" fillId="17" borderId="134" xfId="0" applyFont="1" applyFill="1" applyBorder="1" applyAlignment="1">
      <alignment wrapText="1"/>
    </xf>
    <xf numFmtId="0" fontId="12" fillId="17" borderId="134" xfId="0" applyFont="1" applyFill="1" applyBorder="1"/>
    <xf numFmtId="0" fontId="12" fillId="17" borderId="135" xfId="0" applyFont="1" applyFill="1" applyBorder="1"/>
    <xf numFmtId="0" fontId="16" fillId="38" borderId="133" xfId="0" applyFont="1" applyFill="1" applyBorder="1" applyAlignment="1">
      <alignment horizontal="left" vertical="center" wrapText="1"/>
    </xf>
    <xf numFmtId="0" fontId="16" fillId="38" borderId="133" xfId="0" applyFont="1" applyFill="1" applyBorder="1" applyAlignment="1">
      <alignment horizontal="left" vertical="top" wrapText="1"/>
    </xf>
    <xf numFmtId="0" fontId="16" fillId="38" borderId="134" xfId="0" applyFont="1" applyFill="1" applyBorder="1" applyAlignment="1">
      <alignment horizontal="left" vertical="center" wrapText="1"/>
    </xf>
    <xf numFmtId="0" fontId="16" fillId="38" borderId="134" xfId="0" applyFont="1" applyFill="1" applyBorder="1" applyAlignment="1">
      <alignment horizontal="left" vertical="top" wrapText="1"/>
    </xf>
    <xf numFmtId="0" fontId="16" fillId="38" borderId="135" xfId="0" applyFont="1" applyFill="1" applyBorder="1" applyAlignment="1">
      <alignment horizontal="left" vertical="top" wrapText="1"/>
    </xf>
    <xf numFmtId="0" fontId="12" fillId="38" borderId="134" xfId="0" applyFont="1" applyFill="1" applyBorder="1" applyAlignment="1">
      <alignment horizontal="left" vertical="top" wrapText="1"/>
    </xf>
    <xf numFmtId="0" fontId="68" fillId="17" borderId="134" xfId="0" applyFont="1" applyFill="1" applyBorder="1" applyAlignment="1" applyProtection="1">
      <alignment horizontal="left" wrapText="1"/>
      <protection hidden="1"/>
    </xf>
    <xf numFmtId="14" fontId="36" fillId="0" borderId="20" xfId="0" applyNumberFormat="1" applyFont="1" applyBorder="1" applyAlignment="1">
      <alignment horizontal="center" vertical="top" wrapText="1"/>
    </xf>
    <xf numFmtId="164" fontId="133" fillId="8" borderId="0" xfId="0" applyNumberFormat="1" applyFont="1" applyFill="1"/>
    <xf numFmtId="44" fontId="0" fillId="0" borderId="14" xfId="2" applyFont="1" applyBorder="1"/>
    <xf numFmtId="14" fontId="0" fillId="0" borderId="14" xfId="0" applyNumberFormat="1" applyBorder="1"/>
    <xf numFmtId="0" fontId="9" fillId="0" borderId="0" xfId="0" applyFont="1"/>
    <xf numFmtId="185" fontId="67" fillId="16" borderId="21" xfId="2" applyNumberFormat="1" applyFont="1" applyFill="1" applyBorder="1" applyProtection="1"/>
    <xf numFmtId="0" fontId="68" fillId="6" borderId="0" xfId="0" applyFont="1" applyFill="1" applyAlignment="1" applyProtection="1">
      <alignment horizontal="left" vertical="top"/>
      <protection hidden="1"/>
    </xf>
    <xf numFmtId="0" fontId="154" fillId="33" borderId="0" xfId="0" applyFont="1" applyFill="1"/>
    <xf numFmtId="0" fontId="9" fillId="0" borderId="126" xfId="0" applyFont="1" applyBorder="1" applyAlignment="1">
      <alignment vertical="top" wrapText="1"/>
    </xf>
    <xf numFmtId="0" fontId="9" fillId="0" borderId="127" xfId="0" applyFont="1" applyBorder="1" applyAlignment="1">
      <alignment vertical="top" wrapText="1"/>
    </xf>
    <xf numFmtId="0" fontId="9" fillId="0" borderId="127" xfId="0" applyFont="1" applyBorder="1"/>
    <xf numFmtId="0" fontId="9" fillId="0" borderId="128" xfId="0" applyFont="1" applyBorder="1" applyAlignment="1">
      <alignment vertical="top" wrapText="1"/>
    </xf>
    <xf numFmtId="0" fontId="9" fillId="0" borderId="14" xfId="0" applyFont="1" applyBorder="1" applyAlignment="1">
      <alignment vertical="top"/>
    </xf>
    <xf numFmtId="0" fontId="9" fillId="0" borderId="123" xfId="0" applyFont="1" applyBorder="1"/>
    <xf numFmtId="0" fontId="9" fillId="0" borderId="124" xfId="0" applyFont="1" applyBorder="1"/>
    <xf numFmtId="0" fontId="9" fillId="0" borderId="125" xfId="0" applyFont="1" applyBorder="1"/>
    <xf numFmtId="0" fontId="9" fillId="0" borderId="14" xfId="0" applyFont="1" applyBorder="1"/>
    <xf numFmtId="0" fontId="9" fillId="0" borderId="13" xfId="0" applyFont="1" applyBorder="1"/>
    <xf numFmtId="0" fontId="9" fillId="0" borderId="129" xfId="0" applyFont="1" applyBorder="1"/>
    <xf numFmtId="0" fontId="9" fillId="0" borderId="130" xfId="0" applyFont="1" applyBorder="1"/>
    <xf numFmtId="0" fontId="9" fillId="0" borderId="131" xfId="0" applyFont="1" applyBorder="1"/>
    <xf numFmtId="0" fontId="9" fillId="0" borderId="126" xfId="0" applyFont="1" applyBorder="1" applyAlignment="1">
      <alignment wrapText="1"/>
    </xf>
    <xf numFmtId="0" fontId="9" fillId="0" borderId="127" xfId="0" applyFont="1" applyBorder="1" applyAlignment="1">
      <alignment wrapText="1"/>
    </xf>
    <xf numFmtId="0" fontId="9" fillId="37" borderId="126" xfId="0" applyFont="1" applyFill="1" applyBorder="1" applyAlignment="1">
      <alignment vertical="top" wrapText="1"/>
    </xf>
    <xf numFmtId="0" fontId="9" fillId="37" borderId="127" xfId="0" applyFont="1" applyFill="1" applyBorder="1" applyAlignment="1">
      <alignment vertical="top"/>
    </xf>
    <xf numFmtId="0" fontId="9" fillId="37" borderId="127" xfId="0" applyFont="1" applyFill="1" applyBorder="1" applyAlignment="1">
      <alignment vertical="top" wrapText="1"/>
    </xf>
    <xf numFmtId="0" fontId="9" fillId="37" borderId="128" xfId="0" applyFont="1" applyFill="1" applyBorder="1" applyAlignment="1">
      <alignment vertical="top" wrapText="1"/>
    </xf>
    <xf numFmtId="0" fontId="9" fillId="38" borderId="134" xfId="0" applyFont="1" applyFill="1" applyBorder="1" applyAlignment="1">
      <alignment horizontal="left" vertical="top" wrapText="1"/>
    </xf>
    <xf numFmtId="0" fontId="9" fillId="38" borderId="134" xfId="0" applyFont="1" applyFill="1" applyBorder="1"/>
    <xf numFmtId="0" fontId="9" fillId="38" borderId="135" xfId="0" applyFont="1" applyFill="1" applyBorder="1"/>
    <xf numFmtId="44" fontId="0" fillId="0" borderId="0" xfId="2" applyFont="1" applyFill="1" applyBorder="1"/>
    <xf numFmtId="0" fontId="61" fillId="2" borderId="3" xfId="0" applyFont="1" applyFill="1" applyBorder="1" applyProtection="1">
      <protection hidden="1"/>
    </xf>
    <xf numFmtId="0" fontId="61" fillId="2" borderId="4" xfId="0" applyFont="1" applyFill="1" applyBorder="1" applyProtection="1">
      <protection hidden="1"/>
    </xf>
    <xf numFmtId="183" fontId="68" fillId="2" borderId="20" xfId="0" applyNumberFormat="1" applyFont="1" applyFill="1" applyBorder="1" applyAlignment="1" applyProtection="1">
      <alignment horizontal="left"/>
      <protection hidden="1"/>
    </xf>
    <xf numFmtId="0" fontId="61" fillId="2" borderId="0" xfId="0" applyFont="1" applyFill="1" applyProtection="1">
      <protection hidden="1"/>
    </xf>
    <xf numFmtId="0" fontId="63" fillId="2" borderId="1" xfId="0" applyFont="1" applyFill="1" applyBorder="1" applyAlignment="1" applyProtection="1">
      <alignment horizontal="left"/>
      <protection hidden="1"/>
    </xf>
    <xf numFmtId="0" fontId="68" fillId="2" borderId="2" xfId="0" applyFont="1" applyFill="1" applyBorder="1" applyProtection="1">
      <protection hidden="1"/>
    </xf>
    <xf numFmtId="0" fontId="68" fillId="2" borderId="3" xfId="0" applyFont="1" applyFill="1" applyBorder="1" applyAlignment="1" applyProtection="1">
      <alignment horizontal="left"/>
      <protection hidden="1"/>
    </xf>
    <xf numFmtId="0" fontId="61" fillId="2" borderId="5" xfId="0" applyFont="1" applyFill="1" applyBorder="1" applyProtection="1">
      <protection hidden="1"/>
    </xf>
    <xf numFmtId="49" fontId="68" fillId="2" borderId="21" xfId="0" applyNumberFormat="1" applyFont="1" applyFill="1" applyBorder="1" applyAlignment="1" applyProtection="1">
      <alignment horizontal="left"/>
      <protection hidden="1"/>
    </xf>
    <xf numFmtId="0" fontId="63" fillId="2" borderId="6" xfId="0" applyFont="1" applyFill="1" applyBorder="1" applyAlignment="1" applyProtection="1">
      <alignment horizontal="left"/>
      <protection hidden="1"/>
    </xf>
    <xf numFmtId="0" fontId="68" fillId="2" borderId="7" xfId="0" applyFont="1" applyFill="1" applyBorder="1" applyProtection="1">
      <protection hidden="1"/>
    </xf>
    <xf numFmtId="14" fontId="68" fillId="2" borderId="8" xfId="0" applyNumberFormat="1" applyFont="1" applyFill="1" applyBorder="1" applyAlignment="1" applyProtection="1">
      <alignment horizontal="left"/>
      <protection hidden="1"/>
    </xf>
    <xf numFmtId="0" fontId="49" fillId="16" borderId="1" xfId="0" applyFont="1" applyFill="1" applyBorder="1" applyAlignment="1" applyProtection="1">
      <alignment horizontal="center" vertical="center" wrapText="1"/>
      <protection hidden="1"/>
    </xf>
    <xf numFmtId="0" fontId="86" fillId="16" borderId="20" xfId="0" applyFont="1" applyFill="1" applyBorder="1" applyAlignment="1" applyProtection="1">
      <alignment horizontal="center" vertical="center" wrapText="1"/>
      <protection hidden="1"/>
    </xf>
    <xf numFmtId="0" fontId="86" fillId="6" borderId="20" xfId="0" applyFont="1" applyFill="1" applyBorder="1" applyAlignment="1" applyProtection="1">
      <alignment horizontal="center" vertical="center" wrapText="1"/>
      <protection hidden="1"/>
    </xf>
    <xf numFmtId="0" fontId="86" fillId="6" borderId="14" xfId="0" applyFont="1" applyFill="1" applyBorder="1" applyAlignment="1" applyProtection="1">
      <alignment horizontal="center" vertical="center" wrapText="1"/>
      <protection hidden="1"/>
    </xf>
    <xf numFmtId="0" fontId="0" fillId="16" borderId="6" xfId="0" applyFill="1" applyBorder="1" applyProtection="1">
      <protection hidden="1"/>
    </xf>
    <xf numFmtId="0" fontId="0" fillId="16" borderId="21" xfId="0" applyFill="1" applyBorder="1" applyProtection="1">
      <protection hidden="1"/>
    </xf>
    <xf numFmtId="0" fontId="0" fillId="6" borderId="21" xfId="0" applyFill="1" applyBorder="1" applyProtection="1">
      <protection hidden="1"/>
    </xf>
    <xf numFmtId="9" fontId="0" fillId="18" borderId="14" xfId="0" applyNumberFormat="1" applyFill="1" applyBorder="1" applyProtection="1">
      <protection hidden="1"/>
    </xf>
    <xf numFmtId="0" fontId="0" fillId="6" borderId="0" xfId="0" applyFill="1" applyAlignment="1" applyProtection="1">
      <alignment horizontal="center" vertical="center"/>
      <protection hidden="1"/>
    </xf>
    <xf numFmtId="0" fontId="58" fillId="36" borderId="2" xfId="0" applyFont="1" applyFill="1" applyBorder="1" applyProtection="1">
      <protection hidden="1"/>
    </xf>
    <xf numFmtId="10" fontId="0" fillId="6" borderId="2" xfId="0" applyNumberFormat="1" applyFill="1" applyBorder="1" applyProtection="1">
      <protection hidden="1"/>
    </xf>
    <xf numFmtId="181" fontId="0" fillId="6" borderId="0" xfId="3" applyNumberFormat="1" applyFont="1" applyFill="1" applyBorder="1" applyProtection="1">
      <protection hidden="1"/>
    </xf>
    <xf numFmtId="9" fontId="0" fillId="6" borderId="0" xfId="0" applyNumberFormat="1" applyFill="1" applyProtection="1">
      <protection hidden="1"/>
    </xf>
    <xf numFmtId="9" fontId="0" fillId="6" borderId="5" xfId="0" applyNumberFormat="1" applyFill="1" applyBorder="1" applyProtection="1">
      <protection hidden="1"/>
    </xf>
    <xf numFmtId="0" fontId="59" fillId="24" borderId="18" xfId="0" applyFont="1" applyFill="1" applyBorder="1" applyProtection="1">
      <protection hidden="1"/>
    </xf>
    <xf numFmtId="0" fontId="59" fillId="16" borderId="12" xfId="0" applyFont="1" applyFill="1" applyBorder="1" applyProtection="1">
      <protection hidden="1"/>
    </xf>
    <xf numFmtId="0" fontId="0" fillId="16" borderId="2" xfId="0" applyFill="1" applyBorder="1" applyProtection="1">
      <protection hidden="1"/>
    </xf>
    <xf numFmtId="10" fontId="0" fillId="7" borderId="14" xfId="0" applyNumberFormat="1" applyFill="1" applyBorder="1" applyProtection="1">
      <protection hidden="1"/>
    </xf>
    <xf numFmtId="0" fontId="0" fillId="6" borderId="3" xfId="0" applyFill="1" applyBorder="1" applyProtection="1">
      <protection hidden="1"/>
    </xf>
    <xf numFmtId="0" fontId="0" fillId="21" borderId="35" xfId="0" applyFill="1" applyBorder="1" applyProtection="1">
      <protection hidden="1"/>
    </xf>
    <xf numFmtId="165" fontId="48" fillId="18" borderId="108" xfId="0" applyNumberFormat="1" applyFont="1" applyFill="1" applyBorder="1" applyProtection="1">
      <protection hidden="1"/>
    </xf>
    <xf numFmtId="44" fontId="48" fillId="18" borderId="109" xfId="2" applyFont="1" applyFill="1" applyBorder="1" applyProtection="1">
      <protection hidden="1"/>
    </xf>
    <xf numFmtId="0" fontId="0" fillId="23" borderId="104" xfId="0" applyFill="1" applyBorder="1" applyProtection="1">
      <protection hidden="1"/>
    </xf>
    <xf numFmtId="44" fontId="48" fillId="18" borderId="107" xfId="2" applyFont="1" applyFill="1" applyBorder="1" applyProtection="1">
      <protection hidden="1"/>
    </xf>
    <xf numFmtId="0" fontId="0" fillId="7" borderId="101" xfId="0" applyFill="1" applyBorder="1" applyAlignment="1" applyProtection="1">
      <alignment wrapText="1"/>
      <protection hidden="1"/>
    </xf>
    <xf numFmtId="165" fontId="48" fillId="18" borderId="100" xfId="0" applyNumberFormat="1" applyFont="1" applyFill="1" applyBorder="1" applyProtection="1">
      <protection hidden="1"/>
    </xf>
    <xf numFmtId="44" fontId="48" fillId="18" borderId="99" xfId="2" applyFont="1" applyFill="1" applyBorder="1" applyProtection="1">
      <protection hidden="1"/>
    </xf>
    <xf numFmtId="0" fontId="0" fillId="6" borderId="19" xfId="0" applyFill="1" applyBorder="1" applyProtection="1">
      <protection hidden="1"/>
    </xf>
    <xf numFmtId="10" fontId="62" fillId="18" borderId="21" xfId="0" applyNumberFormat="1" applyFont="1" applyFill="1" applyBorder="1" applyProtection="1">
      <protection hidden="1"/>
    </xf>
    <xf numFmtId="0" fontId="48" fillId="6" borderId="7" xfId="0" applyFont="1" applyFill="1" applyBorder="1" applyProtection="1">
      <protection hidden="1"/>
    </xf>
    <xf numFmtId="0" fontId="0" fillId="6" borderId="93" xfId="0" applyFill="1" applyBorder="1" applyProtection="1">
      <protection hidden="1"/>
    </xf>
    <xf numFmtId="0" fontId="61" fillId="6" borderId="73" xfId="0" applyFont="1" applyFill="1" applyBorder="1" applyProtection="1">
      <protection hidden="1"/>
    </xf>
    <xf numFmtId="165" fontId="63" fillId="18" borderId="73" xfId="0" applyNumberFormat="1" applyFont="1" applyFill="1" applyBorder="1" applyProtection="1">
      <protection hidden="1"/>
    </xf>
    <xf numFmtId="44" fontId="62" fillId="16" borderId="73" xfId="2" applyFont="1" applyFill="1" applyBorder="1" applyProtection="1">
      <protection hidden="1"/>
    </xf>
    <xf numFmtId="44" fontId="48" fillId="16" borderId="73" xfId="2" applyFont="1" applyFill="1" applyBorder="1" applyProtection="1">
      <protection hidden="1"/>
    </xf>
    <xf numFmtId="44" fontId="48" fillId="16" borderId="83" xfId="2" applyFont="1" applyFill="1" applyBorder="1" applyProtection="1">
      <protection hidden="1"/>
    </xf>
    <xf numFmtId="44" fontId="132" fillId="18" borderId="92" xfId="2" applyFont="1" applyFill="1" applyBorder="1" applyProtection="1">
      <protection hidden="1"/>
    </xf>
    <xf numFmtId="0" fontId="131" fillId="6" borderId="0" xfId="0" applyFont="1" applyFill="1" applyProtection="1">
      <protection hidden="1"/>
    </xf>
    <xf numFmtId="0" fontId="134" fillId="6" borderId="0" xfId="0" applyFont="1" applyFill="1" applyProtection="1">
      <protection hidden="1"/>
    </xf>
    <xf numFmtId="10" fontId="67" fillId="6" borderId="95" xfId="0" applyNumberFormat="1" applyFont="1" applyFill="1" applyBorder="1" applyProtection="1">
      <protection hidden="1"/>
    </xf>
    <xf numFmtId="0" fontId="59" fillId="6" borderId="94" xfId="0" applyFont="1" applyFill="1" applyBorder="1" applyProtection="1">
      <protection hidden="1"/>
    </xf>
    <xf numFmtId="0" fontId="59" fillId="24" borderId="73" xfId="0" applyFont="1" applyFill="1" applyBorder="1" applyProtection="1">
      <protection hidden="1"/>
    </xf>
    <xf numFmtId="0" fontId="62" fillId="16" borderId="12" xfId="0" applyFont="1" applyFill="1" applyBorder="1" applyProtection="1">
      <protection hidden="1"/>
    </xf>
    <xf numFmtId="10" fontId="10" fillId="7" borderId="14" xfId="0" applyNumberFormat="1" applyFont="1" applyFill="1" applyBorder="1" applyProtection="1">
      <protection hidden="1"/>
    </xf>
    <xf numFmtId="0" fontId="48" fillId="6" borderId="2" xfId="0" applyFont="1" applyFill="1" applyBorder="1" applyProtection="1">
      <protection hidden="1"/>
    </xf>
    <xf numFmtId="0" fontId="59" fillId="6" borderId="3" xfId="0" applyFont="1" applyFill="1" applyBorder="1" applyProtection="1">
      <protection hidden="1"/>
    </xf>
    <xf numFmtId="0" fontId="0" fillId="21" borderId="97" xfId="0" applyFill="1" applyBorder="1" applyProtection="1">
      <protection hidden="1"/>
    </xf>
    <xf numFmtId="44" fontId="48" fillId="18" borderId="14" xfId="2" applyFont="1" applyFill="1" applyBorder="1" applyProtection="1">
      <protection hidden="1"/>
    </xf>
    <xf numFmtId="10" fontId="48" fillId="6" borderId="0" xfId="0" applyNumberFormat="1" applyFont="1" applyFill="1" applyProtection="1">
      <protection hidden="1"/>
    </xf>
    <xf numFmtId="0" fontId="59" fillId="6" borderId="5" xfId="0" applyFont="1" applyFill="1" applyBorder="1" applyProtection="1">
      <protection hidden="1"/>
    </xf>
    <xf numFmtId="0" fontId="0" fillId="23" borderId="101" xfId="0" applyFill="1" applyBorder="1" applyProtection="1">
      <protection hidden="1"/>
    </xf>
    <xf numFmtId="0" fontId="0" fillId="6" borderId="6" xfId="0" applyFill="1" applyBorder="1" applyAlignment="1" applyProtection="1">
      <alignment wrapText="1"/>
      <protection hidden="1"/>
    </xf>
    <xf numFmtId="165" fontId="48" fillId="18" borderId="6" xfId="0" applyNumberFormat="1" applyFont="1" applyFill="1" applyBorder="1" applyProtection="1">
      <protection hidden="1"/>
    </xf>
    <xf numFmtId="0" fontId="59" fillId="6" borderId="8" xfId="0" applyFont="1" applyFill="1" applyBorder="1" applyProtection="1">
      <protection hidden="1"/>
    </xf>
    <xf numFmtId="0" fontId="0" fillId="6" borderId="90" xfId="0" applyFill="1" applyBorder="1" applyProtection="1">
      <protection hidden="1"/>
    </xf>
    <xf numFmtId="165" fontId="62" fillId="16" borderId="67" xfId="0" applyNumberFormat="1" applyFont="1" applyFill="1" applyBorder="1" applyProtection="1">
      <protection hidden="1"/>
    </xf>
    <xf numFmtId="44" fontId="62" fillId="18" borderId="88" xfId="2" applyFont="1" applyFill="1" applyBorder="1" applyProtection="1">
      <protection hidden="1"/>
    </xf>
    <xf numFmtId="44" fontId="132" fillId="18" borderId="81" xfId="2" applyFont="1" applyFill="1" applyBorder="1" applyProtection="1">
      <protection hidden="1"/>
    </xf>
    <xf numFmtId="0" fontId="131" fillId="6" borderId="94" xfId="0" applyFont="1" applyFill="1" applyBorder="1" applyProtection="1">
      <protection hidden="1"/>
    </xf>
    <xf numFmtId="165" fontId="131" fillId="6" borderId="94" xfId="0" applyNumberFormat="1" applyFont="1" applyFill="1" applyBorder="1" applyProtection="1">
      <protection hidden="1"/>
    </xf>
    <xf numFmtId="0" fontId="59" fillId="24" borderId="20" xfId="0" applyFont="1" applyFill="1" applyBorder="1" applyProtection="1">
      <protection hidden="1"/>
    </xf>
    <xf numFmtId="44" fontId="48" fillId="18" borderId="103" xfId="2" applyFont="1" applyFill="1" applyBorder="1" applyProtection="1">
      <protection hidden="1"/>
    </xf>
    <xf numFmtId="44" fontId="48" fillId="18" borderId="8" xfId="2" applyFont="1" applyFill="1" applyBorder="1" applyProtection="1">
      <protection hidden="1"/>
    </xf>
    <xf numFmtId="0" fontId="48" fillId="6" borderId="6" xfId="0" applyFont="1" applyFill="1" applyBorder="1" applyProtection="1">
      <protection hidden="1"/>
    </xf>
    <xf numFmtId="0" fontId="48" fillId="0" borderId="67" xfId="0" applyFont="1" applyBorder="1" applyProtection="1">
      <protection hidden="1"/>
    </xf>
    <xf numFmtId="44" fontId="48" fillId="16" borderId="90" xfId="2" applyFont="1" applyFill="1" applyBorder="1" applyProtection="1">
      <protection hidden="1"/>
    </xf>
    <xf numFmtId="44" fontId="48" fillId="16" borderId="91" xfId="2" applyFont="1" applyFill="1" applyBorder="1" applyProtection="1">
      <protection hidden="1"/>
    </xf>
    <xf numFmtId="44" fontId="132" fillId="18" borderId="96" xfId="2" applyFont="1" applyFill="1" applyBorder="1" applyProtection="1">
      <protection hidden="1"/>
    </xf>
    <xf numFmtId="4" fontId="62" fillId="0" borderId="0" xfId="0" applyNumberFormat="1" applyFont="1" applyAlignment="1" applyProtection="1">
      <alignment horizontal="left"/>
      <protection hidden="1"/>
    </xf>
    <xf numFmtId="10" fontId="0" fillId="6" borderId="0" xfId="0" applyNumberFormat="1" applyFill="1" applyProtection="1">
      <protection hidden="1"/>
    </xf>
    <xf numFmtId="4" fontId="62" fillId="6" borderId="0" xfId="0" applyNumberFormat="1" applyFont="1" applyFill="1" applyAlignment="1" applyProtection="1">
      <alignment horizontal="left"/>
      <protection hidden="1"/>
    </xf>
    <xf numFmtId="0" fontId="44" fillId="16" borderId="37" xfId="0" applyFont="1" applyFill="1" applyBorder="1" applyAlignment="1" applyProtection="1">
      <alignment vertical="center"/>
      <protection hidden="1"/>
    </xf>
    <xf numFmtId="0" fontId="44" fillId="16" borderId="77" xfId="0" applyFont="1" applyFill="1" applyBorder="1" applyAlignment="1" applyProtection="1">
      <alignment vertical="center"/>
      <protection hidden="1"/>
    </xf>
    <xf numFmtId="44" fontId="0" fillId="6" borderId="0" xfId="0" applyNumberFormat="1" applyFill="1" applyProtection="1">
      <protection hidden="1"/>
    </xf>
    <xf numFmtId="0" fontId="46" fillId="6" borderId="35" xfId="0" applyFont="1" applyFill="1" applyBorder="1" applyAlignment="1" applyProtection="1">
      <alignment wrapText="1"/>
      <protection hidden="1"/>
    </xf>
    <xf numFmtId="0" fontId="44" fillId="0" borderId="35" xfId="0" applyFont="1" applyBorder="1" applyAlignment="1" applyProtection="1">
      <alignment horizontal="center" wrapText="1"/>
      <protection hidden="1"/>
    </xf>
    <xf numFmtId="0" fontId="44" fillId="0" borderId="36" xfId="0" applyFont="1" applyBorder="1" applyAlignment="1" applyProtection="1">
      <alignment horizontal="center" wrapText="1"/>
      <protection hidden="1"/>
    </xf>
    <xf numFmtId="0" fontId="0" fillId="6" borderId="121" xfId="0" applyFill="1" applyBorder="1" applyProtection="1">
      <protection hidden="1"/>
    </xf>
    <xf numFmtId="4" fontId="44" fillId="28" borderId="111" xfId="0" applyNumberFormat="1" applyFont="1" applyFill="1" applyBorder="1" applyAlignment="1" applyProtection="1">
      <alignment horizontal="left"/>
      <protection hidden="1"/>
    </xf>
    <xf numFmtId="44" fontId="8" fillId="6" borderId="14" xfId="2" applyFont="1" applyFill="1" applyBorder="1" applyProtection="1">
      <protection hidden="1"/>
    </xf>
    <xf numFmtId="0" fontId="46" fillId="6" borderId="4" xfId="0" applyFont="1" applyFill="1" applyBorder="1" applyProtection="1">
      <protection hidden="1"/>
    </xf>
    <xf numFmtId="4" fontId="44" fillId="28" borderId="115" xfId="0" applyNumberFormat="1" applyFont="1" applyFill="1" applyBorder="1" applyAlignment="1" applyProtection="1">
      <alignment horizontal="left"/>
      <protection hidden="1"/>
    </xf>
    <xf numFmtId="2" fontId="46" fillId="6" borderId="20" xfId="0" applyNumberFormat="1" applyFont="1" applyFill="1" applyBorder="1" applyProtection="1">
      <protection hidden="1"/>
    </xf>
    <xf numFmtId="4" fontId="62" fillId="22" borderId="15" xfId="0" applyNumberFormat="1" applyFont="1" applyFill="1" applyBorder="1" applyAlignment="1" applyProtection="1">
      <alignment horizontal="left" wrapText="1"/>
      <protection hidden="1"/>
    </xf>
    <xf numFmtId="44" fontId="62" fillId="22" borderId="22" xfId="2" applyFont="1" applyFill="1" applyBorder="1" applyAlignment="1" applyProtection="1">
      <alignment horizontal="center" vertical="center"/>
      <protection hidden="1"/>
    </xf>
    <xf numFmtId="44" fontId="62" fillId="22" borderId="116" xfId="2" applyFont="1" applyFill="1" applyBorder="1" applyAlignment="1" applyProtection="1">
      <alignment horizontal="center" vertical="center"/>
      <protection hidden="1"/>
    </xf>
    <xf numFmtId="44" fontId="62" fillId="22" borderId="23" xfId="2" applyFont="1" applyFill="1" applyBorder="1" applyAlignment="1" applyProtection="1">
      <alignment horizontal="center" vertical="center"/>
      <protection hidden="1"/>
    </xf>
    <xf numFmtId="4" fontId="68" fillId="28" borderId="111" xfId="0" applyNumberFormat="1" applyFont="1" applyFill="1" applyBorder="1" applyAlignment="1" applyProtection="1">
      <alignment horizontal="left" wrapText="1"/>
      <protection hidden="1"/>
    </xf>
    <xf numFmtId="165" fontId="44" fillId="0" borderId="14" xfId="0" applyNumberFormat="1" applyFont="1" applyBorder="1" applyAlignment="1" applyProtection="1">
      <alignment horizontal="center" vertical="center"/>
      <protection hidden="1"/>
    </xf>
    <xf numFmtId="4" fontId="62" fillId="28" borderId="9" xfId="0" applyNumberFormat="1" applyFont="1" applyFill="1" applyBorder="1" applyAlignment="1" applyProtection="1">
      <alignment horizontal="left" wrapText="1"/>
      <protection hidden="1"/>
    </xf>
    <xf numFmtId="10" fontId="62" fillId="0" borderId="22" xfId="3" applyNumberFormat="1" applyFont="1" applyBorder="1" applyAlignment="1" applyProtection="1">
      <alignment horizontal="right"/>
      <protection hidden="1"/>
    </xf>
    <xf numFmtId="10" fontId="62" fillId="0" borderId="116" xfId="0" applyNumberFormat="1" applyFont="1" applyBorder="1" applyAlignment="1" applyProtection="1">
      <alignment horizontal="right"/>
      <protection hidden="1"/>
    </xf>
    <xf numFmtId="10" fontId="62" fillId="0" borderId="23" xfId="0" applyNumberFormat="1" applyFont="1" applyBorder="1" applyAlignment="1" applyProtection="1">
      <alignment horizontal="right"/>
      <protection hidden="1"/>
    </xf>
    <xf numFmtId="0" fontId="62" fillId="29" borderId="15" xfId="0" applyFont="1" applyFill="1" applyBorder="1" applyAlignment="1" applyProtection="1">
      <alignment horizontal="left" wrapText="1"/>
      <protection hidden="1"/>
    </xf>
    <xf numFmtId="0" fontId="0" fillId="23" borderId="0" xfId="0" applyFill="1" applyProtection="1">
      <protection hidden="1"/>
    </xf>
    <xf numFmtId="0" fontId="139" fillId="0" borderId="5" xfId="0" applyFont="1" applyBorder="1" applyAlignment="1" applyProtection="1">
      <alignment horizontal="right"/>
      <protection hidden="1"/>
    </xf>
    <xf numFmtId="0" fontId="135" fillId="27" borderId="21" xfId="0" applyFont="1" applyFill="1" applyBorder="1" applyAlignment="1" applyProtection="1">
      <alignment horizontal="left" wrapText="1"/>
      <protection hidden="1"/>
    </xf>
    <xf numFmtId="186" fontId="135" fillId="27" borderId="21" xfId="2" applyNumberFormat="1" applyFont="1" applyFill="1" applyBorder="1" applyAlignment="1" applyProtection="1">
      <alignment horizontal="center" vertical="center"/>
      <protection hidden="1"/>
    </xf>
    <xf numFmtId="165" fontId="48" fillId="17" borderId="105" xfId="0" applyNumberFormat="1" applyFont="1" applyFill="1" applyBorder="1" applyProtection="1">
      <protection locked="0"/>
    </xf>
    <xf numFmtId="165" fontId="48" fillId="17" borderId="98" xfId="0" applyNumberFormat="1" applyFont="1" applyFill="1" applyBorder="1" applyProtection="1">
      <protection locked="0"/>
    </xf>
    <xf numFmtId="165" fontId="48" fillId="17" borderId="101" xfId="0" applyNumberFormat="1" applyFont="1" applyFill="1" applyBorder="1" applyProtection="1">
      <protection locked="0"/>
    </xf>
    <xf numFmtId="0" fontId="6" fillId="17" borderId="133" xfId="0" applyFont="1" applyFill="1" applyBorder="1" applyAlignment="1">
      <alignment wrapText="1"/>
    </xf>
    <xf numFmtId="0" fontId="6" fillId="17" borderId="134" xfId="0" applyFont="1" applyFill="1" applyBorder="1" applyAlignment="1">
      <alignment wrapText="1"/>
    </xf>
    <xf numFmtId="0" fontId="6" fillId="17" borderId="134" xfId="0" applyFont="1" applyFill="1" applyBorder="1" applyAlignment="1">
      <alignment horizontal="left" vertical="center" wrapText="1"/>
    </xf>
    <xf numFmtId="0" fontId="6" fillId="17" borderId="134" xfId="0" applyFont="1" applyFill="1" applyBorder="1" applyAlignment="1">
      <alignment horizontal="left" wrapText="1"/>
    </xf>
    <xf numFmtId="0" fontId="6" fillId="17" borderId="134" xfId="0" applyFont="1" applyFill="1" applyBorder="1" applyAlignment="1">
      <alignment horizontal="left"/>
    </xf>
    <xf numFmtId="0" fontId="6" fillId="17" borderId="135" xfId="0" applyFont="1" applyFill="1" applyBorder="1" applyAlignment="1">
      <alignment horizontal="left"/>
    </xf>
    <xf numFmtId="0" fontId="6" fillId="17" borderId="135" xfId="0" applyFont="1" applyFill="1" applyBorder="1" applyAlignment="1">
      <alignment horizontal="left" wrapText="1"/>
    </xf>
    <xf numFmtId="0" fontId="6" fillId="23" borderId="0" xfId="0" applyFont="1" applyFill="1"/>
    <xf numFmtId="0" fontId="6" fillId="6" borderId="4" xfId="0" applyFont="1" applyFill="1" applyBorder="1"/>
    <xf numFmtId="0" fontId="6" fillId="0" borderId="4" xfId="0" applyFont="1" applyBorder="1"/>
    <xf numFmtId="0" fontId="6" fillId="0" borderId="127" xfId="0" applyFont="1" applyBorder="1"/>
    <xf numFmtId="0" fontId="6" fillId="0" borderId="128" xfId="0" applyFont="1" applyBorder="1"/>
    <xf numFmtId="0" fontId="6" fillId="6" borderId="1" xfId="0" applyFont="1" applyFill="1" applyBorder="1" applyAlignment="1">
      <alignment vertical="top"/>
    </xf>
    <xf numFmtId="0" fontId="6" fillId="6" borderId="4" xfId="0" applyFont="1" applyFill="1" applyBorder="1" applyAlignment="1">
      <alignment vertical="top"/>
    </xf>
    <xf numFmtId="0" fontId="6" fillId="6" borderId="140" xfId="0" applyFont="1" applyFill="1" applyBorder="1" applyAlignment="1">
      <alignment vertical="top"/>
    </xf>
    <xf numFmtId="0" fontId="6" fillId="0" borderId="139" xfId="0" applyFont="1" applyBorder="1"/>
    <xf numFmtId="14" fontId="36" fillId="0" borderId="14" xfId="0" applyNumberFormat="1" applyFont="1" applyBorder="1" applyAlignment="1">
      <alignment horizontal="center" vertical="top"/>
    </xf>
    <xf numFmtId="14" fontId="36" fillId="0" borderId="19" xfId="0" applyNumberFormat="1" applyFont="1" applyBorder="1" applyAlignment="1">
      <alignment horizontal="center"/>
    </xf>
    <xf numFmtId="14" fontId="6" fillId="23" borderId="5" xfId="0" applyNumberFormat="1" applyFont="1" applyFill="1" applyBorder="1"/>
    <xf numFmtId="14" fontId="6" fillId="23" borderId="8" xfId="0" applyNumberFormat="1" applyFont="1" applyFill="1" applyBorder="1"/>
    <xf numFmtId="14" fontId="6" fillId="25" borderId="14" xfId="0" applyNumberFormat="1" applyFont="1" applyFill="1" applyBorder="1" applyAlignment="1">
      <alignment horizontal="center" vertical="top"/>
    </xf>
    <xf numFmtId="14" fontId="6" fillId="23" borderId="3" xfId="0" applyNumberFormat="1" applyFont="1" applyFill="1" applyBorder="1" applyAlignment="1">
      <alignment horizontal="center" vertical="top"/>
    </xf>
    <xf numFmtId="0" fontId="6" fillId="6" borderId="126" xfId="0" applyFont="1" applyFill="1" applyBorder="1" applyAlignment="1">
      <alignment horizontal="left" vertical="top"/>
    </xf>
    <xf numFmtId="0" fontId="6" fillId="6" borderId="136" xfId="0" applyFont="1" applyFill="1" applyBorder="1" applyAlignment="1">
      <alignment vertical="top" wrapText="1"/>
    </xf>
    <xf numFmtId="0" fontId="6" fillId="6" borderId="126" xfId="0" applyFont="1" applyFill="1" applyBorder="1" applyAlignment="1">
      <alignment vertical="top"/>
    </xf>
    <xf numFmtId="0" fontId="6" fillId="6" borderId="127" xfId="0" applyFont="1" applyFill="1" applyBorder="1" applyAlignment="1">
      <alignment horizontal="left" vertical="top"/>
    </xf>
    <xf numFmtId="0" fontId="6" fillId="6" borderId="137" xfId="0" applyFont="1" applyFill="1" applyBorder="1" applyAlignment="1">
      <alignment horizontal="left" vertical="top" wrapText="1"/>
    </xf>
    <xf numFmtId="0" fontId="6" fillId="6" borderId="127" xfId="0" applyFont="1" applyFill="1" applyBorder="1" applyAlignment="1">
      <alignment vertical="top"/>
    </xf>
    <xf numFmtId="0" fontId="6" fillId="0" borderId="138" xfId="0" applyFont="1" applyBorder="1" applyAlignment="1">
      <alignment vertical="top" wrapText="1"/>
    </xf>
    <xf numFmtId="0" fontId="6" fillId="0" borderId="127" xfId="0" applyFont="1" applyBorder="1" applyAlignment="1">
      <alignment vertical="top"/>
    </xf>
    <xf numFmtId="0" fontId="6" fillId="0" borderId="127" xfId="0" applyFont="1" applyBorder="1" applyAlignment="1">
      <alignment vertical="top" wrapText="1"/>
    </xf>
    <xf numFmtId="0" fontId="6" fillId="6" borderId="139" xfId="0" applyFont="1" applyFill="1" applyBorder="1" applyAlignment="1">
      <alignment horizontal="left" vertical="top"/>
    </xf>
    <xf numFmtId="0" fontId="6" fillId="6" borderId="140" xfId="0" applyFont="1" applyFill="1" applyBorder="1" applyAlignment="1">
      <alignment horizontal="left" vertical="top" wrapText="1"/>
    </xf>
    <xf numFmtId="0" fontId="6" fillId="6" borderId="139" xfId="0" applyFont="1" applyFill="1" applyBorder="1" applyAlignment="1">
      <alignment vertical="top"/>
    </xf>
    <xf numFmtId="0" fontId="6" fillId="0" borderId="137" xfId="0" applyFont="1" applyBorder="1" applyAlignment="1">
      <alignment vertical="top" wrapText="1"/>
    </xf>
    <xf numFmtId="0" fontId="6" fillId="6" borderId="137" xfId="0" applyFont="1" applyFill="1" applyBorder="1" applyAlignment="1">
      <alignment vertical="top" wrapText="1"/>
    </xf>
    <xf numFmtId="44" fontId="68" fillId="6" borderId="127" xfId="2" applyFont="1" applyFill="1" applyBorder="1" applyAlignment="1" applyProtection="1">
      <alignment vertical="top" wrapText="1"/>
    </xf>
    <xf numFmtId="0" fontId="6" fillId="6" borderId="128" xfId="0" applyFont="1" applyFill="1" applyBorder="1" applyAlignment="1">
      <alignment horizontal="left" vertical="top"/>
    </xf>
    <xf numFmtId="0" fontId="6" fillId="0" borderId="128" xfId="0" applyFont="1" applyBorder="1" applyAlignment="1">
      <alignment vertical="top" wrapText="1"/>
    </xf>
    <xf numFmtId="0" fontId="6" fillId="0" borderId="128" xfId="0" applyFont="1" applyBorder="1" applyAlignment="1">
      <alignment vertical="top"/>
    </xf>
    <xf numFmtId="0" fontId="6" fillId="0" borderId="126" xfId="0" applyFont="1" applyBorder="1" applyAlignment="1">
      <alignment vertical="top"/>
    </xf>
    <xf numFmtId="44" fontId="6" fillId="6" borderId="127" xfId="2" applyFont="1" applyFill="1" applyBorder="1" applyAlignment="1" applyProtection="1">
      <alignment vertical="top" wrapText="1"/>
    </xf>
    <xf numFmtId="0" fontId="6" fillId="0" borderId="126" xfId="0" applyFont="1" applyBorder="1" applyAlignment="1">
      <alignment vertical="top" wrapText="1"/>
    </xf>
    <xf numFmtId="0" fontId="6" fillId="23" borderId="0" xfId="0" applyFont="1" applyFill="1" applyAlignment="1">
      <alignment vertical="top"/>
    </xf>
    <xf numFmtId="0" fontId="6" fillId="23" borderId="126" xfId="0" applyFont="1" applyFill="1" applyBorder="1" applyAlignment="1">
      <alignment horizontal="left" vertical="top"/>
    </xf>
    <xf numFmtId="0" fontId="6" fillId="23" borderId="127" xfId="0" applyFont="1" applyFill="1" applyBorder="1" applyAlignment="1">
      <alignment horizontal="left" vertical="top"/>
    </xf>
    <xf numFmtId="0" fontId="6" fillId="23" borderId="128" xfId="0" applyFont="1" applyFill="1" applyBorder="1" applyAlignment="1">
      <alignment horizontal="left" vertical="top"/>
    </xf>
    <xf numFmtId="0" fontId="6" fillId="23" borderId="126" xfId="0" applyFont="1" applyFill="1" applyBorder="1" applyAlignment="1">
      <alignment horizontal="left" vertical="top" wrapText="1"/>
    </xf>
    <xf numFmtId="0" fontId="6" fillId="23" borderId="126" xfId="0" applyFont="1" applyFill="1" applyBorder="1" applyAlignment="1">
      <alignment vertical="top"/>
    </xf>
    <xf numFmtId="0" fontId="6" fillId="23" borderId="127" xfId="0" applyFont="1" applyFill="1" applyBorder="1" applyAlignment="1">
      <alignment horizontal="left" vertical="top" wrapText="1"/>
    </xf>
    <xf numFmtId="0" fontId="6" fillId="23" borderId="127" xfId="0" applyFont="1" applyFill="1" applyBorder="1" applyAlignment="1">
      <alignment vertical="top"/>
    </xf>
    <xf numFmtId="0" fontId="6" fillId="23" borderId="128" xfId="0" applyFont="1" applyFill="1" applyBorder="1" applyAlignment="1">
      <alignment horizontal="left" vertical="top" wrapText="1"/>
    </xf>
    <xf numFmtId="0" fontId="6" fillId="23" borderId="128" xfId="0" applyFont="1" applyFill="1" applyBorder="1" applyAlignment="1">
      <alignment vertical="top"/>
    </xf>
    <xf numFmtId="0" fontId="6" fillId="25" borderId="14" xfId="0" applyFont="1" applyFill="1" applyBorder="1"/>
    <xf numFmtId="0" fontId="6" fillId="25" borderId="14" xfId="0" applyFont="1" applyFill="1" applyBorder="1" applyAlignment="1">
      <alignment vertical="top"/>
    </xf>
    <xf numFmtId="0" fontId="6" fillId="25" borderId="14" xfId="0" applyFont="1" applyFill="1" applyBorder="1" applyAlignment="1">
      <alignment horizontal="left" vertical="top"/>
    </xf>
    <xf numFmtId="0" fontId="6" fillId="25" borderId="14" xfId="0" applyFont="1" applyFill="1" applyBorder="1" applyAlignment="1">
      <alignment horizontal="left" vertical="top" wrapText="1"/>
    </xf>
    <xf numFmtId="0" fontId="48" fillId="33" borderId="4" xfId="0" applyFont="1" applyFill="1" applyBorder="1" applyProtection="1">
      <protection hidden="1"/>
    </xf>
    <xf numFmtId="0" fontId="0" fillId="33" borderId="4" xfId="0" applyFill="1" applyBorder="1" applyProtection="1">
      <protection hidden="1"/>
    </xf>
    <xf numFmtId="0" fontId="0" fillId="33" borderId="5" xfId="0" applyFill="1" applyBorder="1" applyProtection="1">
      <protection hidden="1"/>
    </xf>
    <xf numFmtId="44" fontId="6" fillId="6" borderId="126" xfId="2" applyFont="1" applyFill="1" applyBorder="1" applyAlignment="1" applyProtection="1">
      <alignment wrapText="1"/>
    </xf>
    <xf numFmtId="0" fontId="61" fillId="6" borderId="4" xfId="0" applyFont="1" applyFill="1" applyBorder="1"/>
    <xf numFmtId="0" fontId="5" fillId="6" borderId="137" xfId="0" applyFont="1" applyFill="1" applyBorder="1" applyAlignment="1">
      <alignment horizontal="left" vertical="top" wrapText="1"/>
    </xf>
    <xf numFmtId="0" fontId="0" fillId="0" borderId="12" xfId="0" applyBorder="1" applyAlignment="1">
      <alignment horizontal="center"/>
    </xf>
    <xf numFmtId="0" fontId="0" fillId="0" borderId="18" xfId="0" applyBorder="1" applyAlignment="1">
      <alignment horizontal="center"/>
    </xf>
    <xf numFmtId="0" fontId="46" fillId="6" borderId="0" xfId="0" applyFont="1" applyFill="1" applyAlignment="1" applyProtection="1">
      <alignment horizontal="center"/>
      <protection hidden="1"/>
    </xf>
    <xf numFmtId="181" fontId="67" fillId="0" borderId="110" xfId="3" applyNumberFormat="1" applyFont="1" applyBorder="1" applyAlignment="1">
      <alignment horizontal="center"/>
    </xf>
    <xf numFmtId="181" fontId="67" fillId="17" borderId="79" xfId="3" applyNumberFormat="1" applyFont="1" applyFill="1" applyBorder="1" applyAlignment="1">
      <alignment horizontal="center"/>
    </xf>
    <xf numFmtId="10" fontId="58" fillId="8" borderId="14" xfId="0" applyNumberFormat="1" applyFont="1" applyFill="1" applyBorder="1"/>
    <xf numFmtId="10" fontId="61" fillId="17" borderId="14" xfId="0" applyNumberFormat="1" applyFont="1" applyFill="1" applyBorder="1"/>
    <xf numFmtId="181" fontId="68" fillId="0" borderId="114" xfId="3" applyNumberFormat="1" applyFont="1" applyBorder="1" applyAlignment="1">
      <alignment horizontal="center" wrapText="1"/>
    </xf>
    <xf numFmtId="0" fontId="86" fillId="6" borderId="12" xfId="0" applyFont="1" applyFill="1" applyBorder="1" applyAlignment="1">
      <alignment horizontal="left" vertical="top"/>
    </xf>
    <xf numFmtId="0" fontId="86" fillId="6" borderId="13" xfId="0" applyFont="1" applyFill="1" applyBorder="1" applyAlignment="1">
      <alignment horizontal="left" vertical="top"/>
    </xf>
    <xf numFmtId="0" fontId="0" fillId="17" borderId="20" xfId="0" applyFill="1" applyBorder="1" applyAlignment="1">
      <alignment wrapText="1"/>
    </xf>
    <xf numFmtId="10" fontId="0" fillId="17" borderId="20" xfId="3" applyNumberFormat="1" applyFont="1" applyFill="1" applyBorder="1" applyAlignment="1" applyProtection="1">
      <alignment wrapText="1"/>
    </xf>
    <xf numFmtId="0" fontId="0" fillId="17" borderId="21" xfId="0" applyFill="1" applyBorder="1"/>
    <xf numFmtId="2" fontId="133" fillId="17" borderId="14" xfId="0" applyNumberFormat="1" applyFont="1" applyFill="1" applyBorder="1"/>
    <xf numFmtId="10" fontId="58" fillId="17" borderId="21" xfId="3" applyNumberFormat="1" applyFont="1" applyFill="1" applyBorder="1" applyAlignment="1" applyProtection="1"/>
    <xf numFmtId="10" fontId="58" fillId="17" borderId="14" xfId="3" applyNumberFormat="1" applyFont="1" applyFill="1" applyBorder="1" applyAlignment="1" applyProtection="1"/>
    <xf numFmtId="0" fontId="136" fillId="0" borderId="4" xfId="0" applyFont="1" applyBorder="1"/>
    <xf numFmtId="0" fontId="0" fillId="0" borderId="25" xfId="0" applyBorder="1"/>
    <xf numFmtId="0" fontId="0" fillId="0" borderId="64" xfId="0" applyBorder="1"/>
    <xf numFmtId="0" fontId="0" fillId="0" borderId="66" xfId="0" applyBorder="1"/>
    <xf numFmtId="0" fontId="0" fillId="0" borderId="69" xfId="0" applyBorder="1"/>
    <xf numFmtId="0" fontId="0" fillId="0" borderId="67" xfId="0" applyBorder="1"/>
    <xf numFmtId="0" fontId="0" fillId="0" borderId="69" xfId="0" applyBorder="1" applyAlignment="1">
      <alignment wrapText="1"/>
    </xf>
    <xf numFmtId="0" fontId="0" fillId="0" borderId="64" xfId="0" applyBorder="1" applyAlignment="1">
      <alignment wrapText="1"/>
    </xf>
    <xf numFmtId="0" fontId="0" fillId="16" borderId="4" xfId="0" applyFill="1" applyBorder="1"/>
    <xf numFmtId="44" fontId="0" fillId="16" borderId="4" xfId="0" applyNumberFormat="1" applyFill="1" applyBorder="1"/>
    <xf numFmtId="0" fontId="133" fillId="16" borderId="24" xfId="0" applyFont="1" applyFill="1" applyBorder="1"/>
    <xf numFmtId="0" fontId="133" fillId="16" borderId="75" xfId="0" applyFont="1" applyFill="1" applyBorder="1"/>
    <xf numFmtId="0" fontId="58" fillId="23" borderId="0" xfId="0" applyFont="1" applyFill="1"/>
    <xf numFmtId="44" fontId="4" fillId="21" borderId="108" xfId="2" applyFont="1" applyFill="1" applyBorder="1" applyProtection="1">
      <protection hidden="1"/>
    </xf>
    <xf numFmtId="44" fontId="4" fillId="23" borderId="106" xfId="2" applyFont="1" applyFill="1" applyBorder="1" applyProtection="1">
      <protection hidden="1"/>
    </xf>
    <xf numFmtId="44" fontId="4" fillId="7" borderId="102" xfId="2" applyFont="1" applyFill="1" applyBorder="1" applyProtection="1">
      <protection hidden="1"/>
    </xf>
    <xf numFmtId="0" fontId="4" fillId="6" borderId="0" xfId="0" applyFont="1" applyFill="1" applyProtection="1">
      <protection hidden="1"/>
    </xf>
    <xf numFmtId="0" fontId="4" fillId="6" borderId="25" xfId="0" applyFont="1" applyFill="1" applyBorder="1" applyProtection="1">
      <protection hidden="1"/>
    </xf>
    <xf numFmtId="0" fontId="4" fillId="16" borderId="2" xfId="0" applyFont="1" applyFill="1" applyBorder="1" applyProtection="1">
      <protection hidden="1"/>
    </xf>
    <xf numFmtId="44" fontId="4" fillId="21" borderId="98" xfId="2" applyFont="1" applyFill="1" applyBorder="1" applyProtection="1">
      <protection hidden="1"/>
    </xf>
    <xf numFmtId="44" fontId="4" fillId="23" borderId="101" xfId="2" applyFont="1" applyFill="1" applyBorder="1" applyProtection="1">
      <protection hidden="1"/>
    </xf>
    <xf numFmtId="44" fontId="4" fillId="7" borderId="6" xfId="2" applyFont="1" applyFill="1" applyBorder="1" applyProtection="1">
      <protection hidden="1"/>
    </xf>
    <xf numFmtId="0" fontId="4" fillId="7" borderId="24" xfId="0" applyFont="1" applyFill="1" applyBorder="1" applyProtection="1">
      <protection hidden="1"/>
    </xf>
    <xf numFmtId="0" fontId="4" fillId="16" borderId="18" xfId="0" applyFont="1" applyFill="1" applyBorder="1" applyProtection="1">
      <protection hidden="1"/>
    </xf>
    <xf numFmtId="0" fontId="72" fillId="16" borderId="117" xfId="0" applyFont="1" applyFill="1" applyBorder="1"/>
    <xf numFmtId="10" fontId="67" fillId="6" borderId="0" xfId="0" applyNumberFormat="1" applyFont="1" applyFill="1" applyProtection="1">
      <protection hidden="1"/>
    </xf>
    <xf numFmtId="44" fontId="4" fillId="16" borderId="73" xfId="2" applyFont="1" applyFill="1" applyBorder="1" applyProtection="1">
      <protection hidden="1"/>
    </xf>
    <xf numFmtId="185" fontId="67" fillId="16" borderId="117" xfId="0" applyNumberFormat="1" applyFont="1" applyFill="1" applyBorder="1"/>
    <xf numFmtId="193" fontId="67" fillId="16" borderId="21" xfId="2" applyNumberFormat="1" applyFont="1" applyFill="1" applyBorder="1" applyProtection="1"/>
    <xf numFmtId="185" fontId="0" fillId="0" borderId="0" xfId="0" applyNumberFormat="1"/>
    <xf numFmtId="0" fontId="62" fillId="2" borderId="14" xfId="0" applyFont="1" applyFill="1" applyBorder="1" applyAlignment="1" applyProtection="1">
      <alignment wrapText="1"/>
      <protection hidden="1"/>
    </xf>
    <xf numFmtId="44" fontId="57" fillId="6" borderId="6" xfId="2" applyFont="1" applyFill="1" applyBorder="1" applyProtection="1"/>
    <xf numFmtId="44" fontId="57" fillId="18" borderId="12" xfId="2" applyFont="1" applyFill="1" applyBorder="1" applyProtection="1"/>
    <xf numFmtId="0" fontId="57" fillId="0" borderId="12" xfId="0" applyFont="1" applyBorder="1"/>
    <xf numFmtId="10" fontId="57" fillId="2" borderId="12" xfId="0" applyNumberFormat="1" applyFont="1" applyFill="1" applyBorder="1" applyAlignment="1">
      <alignment horizontal="center"/>
    </xf>
    <xf numFmtId="44" fontId="57" fillId="6" borderId="12" xfId="2" applyFont="1" applyFill="1" applyBorder="1" applyProtection="1"/>
    <xf numFmtId="0" fontId="62" fillId="19" borderId="33" xfId="0" applyFont="1" applyFill="1" applyBorder="1" applyAlignment="1">
      <alignment horizontal="center" wrapText="1"/>
    </xf>
    <xf numFmtId="0" fontId="70" fillId="6" borderId="0" xfId="1" applyFill="1" applyAlignment="1" applyProtection="1"/>
    <xf numFmtId="0" fontId="141" fillId="6" borderId="1" xfId="0" applyFont="1" applyFill="1" applyBorder="1"/>
    <xf numFmtId="0" fontId="141" fillId="6" borderId="2" xfId="0" applyFont="1" applyFill="1" applyBorder="1"/>
    <xf numFmtId="0" fontId="141" fillId="6" borderId="3" xfId="0" applyFont="1" applyFill="1" applyBorder="1"/>
    <xf numFmtId="0" fontId="86" fillId="6" borderId="0" xfId="0" applyFont="1" applyFill="1"/>
    <xf numFmtId="0" fontId="86" fillId="6" borderId="5" xfId="0" applyFont="1" applyFill="1" applyBorder="1"/>
    <xf numFmtId="0" fontId="86" fillId="6" borderId="7" xfId="0" applyFont="1" applyFill="1" applyBorder="1"/>
    <xf numFmtId="0" fontId="86" fillId="6" borderId="8" xfId="0" applyFont="1" applyFill="1" applyBorder="1"/>
    <xf numFmtId="0" fontId="70" fillId="6" borderId="0" xfId="1" applyFill="1" applyBorder="1" applyAlignment="1" applyProtection="1"/>
    <xf numFmtId="0" fontId="7" fillId="6" borderId="10" xfId="0" applyFont="1" applyFill="1" applyBorder="1" applyProtection="1">
      <protection hidden="1"/>
    </xf>
    <xf numFmtId="0" fontId="59" fillId="19" borderId="22" xfId="0" applyFont="1" applyFill="1" applyBorder="1" applyAlignment="1" applyProtection="1">
      <alignment horizontal="center" vertical="center" wrapText="1"/>
      <protection locked="0"/>
    </xf>
    <xf numFmtId="0" fontId="59" fillId="19" borderId="22" xfId="0" applyFont="1" applyFill="1" applyBorder="1" applyAlignment="1">
      <alignment horizontal="center" vertical="center"/>
    </xf>
    <xf numFmtId="0" fontId="0" fillId="16" borderId="12" xfId="0" applyFill="1" applyBorder="1" applyAlignment="1">
      <alignment horizontal="center" wrapText="1"/>
    </xf>
    <xf numFmtId="0" fontId="0" fillId="16" borderId="13" xfId="0" applyFill="1" applyBorder="1" applyAlignment="1">
      <alignment horizontal="center" wrapText="1"/>
    </xf>
    <xf numFmtId="0" fontId="0" fillId="16" borderId="12" xfId="0" applyFill="1" applyBorder="1" applyAlignment="1">
      <alignment horizontal="center"/>
    </xf>
    <xf numFmtId="0" fontId="0" fillId="16" borderId="13" xfId="0" applyFill="1" applyBorder="1" applyAlignment="1">
      <alignment horizontal="center"/>
    </xf>
    <xf numFmtId="10" fontId="58" fillId="17" borderId="14" xfId="3" applyNumberFormat="1" applyFont="1" applyFill="1" applyBorder="1"/>
    <xf numFmtId="10" fontId="58" fillId="17" borderId="14" xfId="0" applyNumberFormat="1" applyFont="1" applyFill="1" applyBorder="1"/>
    <xf numFmtId="0" fontId="0" fillId="33" borderId="14" xfId="0" applyFill="1" applyBorder="1"/>
    <xf numFmtId="44" fontId="0" fillId="33" borderId="14" xfId="0" applyNumberFormat="1" applyFill="1" applyBorder="1"/>
    <xf numFmtId="164" fontId="0" fillId="33" borderId="14" xfId="0" applyNumberFormat="1" applyFill="1" applyBorder="1"/>
    <xf numFmtId="165" fontId="0" fillId="33" borderId="14" xfId="0" applyNumberFormat="1" applyFill="1" applyBorder="1"/>
    <xf numFmtId="186" fontId="0" fillId="33" borderId="14" xfId="0" applyNumberFormat="1" applyFill="1" applyBorder="1"/>
    <xf numFmtId="0" fontId="3" fillId="6" borderId="4" xfId="0" applyFont="1" applyFill="1" applyBorder="1"/>
    <xf numFmtId="0" fontId="3" fillId="6" borderId="6" xfId="0" applyFont="1" applyFill="1" applyBorder="1"/>
    <xf numFmtId="0" fontId="36" fillId="0" borderId="5" xfId="0" applyFont="1" applyBorder="1"/>
    <xf numFmtId="0" fontId="6" fillId="0" borderId="19" xfId="0" applyFont="1" applyBorder="1"/>
    <xf numFmtId="185" fontId="68" fillId="6" borderId="138" xfId="2" applyNumberFormat="1" applyFont="1" applyFill="1" applyBorder="1" applyAlignment="1" applyProtection="1">
      <alignment vertical="top" wrapText="1"/>
    </xf>
    <xf numFmtId="44" fontId="68" fillId="6" borderId="138" xfId="2" applyFont="1" applyFill="1" applyBorder="1" applyAlignment="1" applyProtection="1">
      <alignment vertical="top" wrapText="1"/>
    </xf>
    <xf numFmtId="0" fontId="9" fillId="0" borderId="19" xfId="0" applyFont="1" applyBorder="1"/>
    <xf numFmtId="14" fontId="2" fillId="0" borderId="5" xfId="0" applyNumberFormat="1" applyFont="1" applyBorder="1"/>
    <xf numFmtId="0" fontId="2" fillId="0" borderId="19" xfId="0" applyFont="1" applyBorder="1" applyAlignment="1">
      <alignment vertical="top"/>
    </xf>
    <xf numFmtId="0" fontId="2" fillId="6" borderId="19" xfId="0" applyFont="1" applyFill="1" applyBorder="1" applyAlignment="1">
      <alignment horizontal="left" vertical="top"/>
    </xf>
    <xf numFmtId="0" fontId="2" fillId="0" borderId="19" xfId="0" applyFont="1" applyBorder="1" applyAlignment="1">
      <alignment vertical="top" wrapText="1"/>
    </xf>
    <xf numFmtId="0" fontId="2" fillId="0" borderId="19" xfId="0" applyFont="1" applyBorder="1"/>
    <xf numFmtId="0" fontId="2" fillId="0" borderId="5" xfId="0" applyFont="1" applyBorder="1"/>
    <xf numFmtId="10" fontId="2" fillId="0" borderId="19" xfId="0" applyNumberFormat="1" applyFont="1" applyBorder="1" applyAlignment="1">
      <alignment horizontal="left"/>
    </xf>
    <xf numFmtId="0" fontId="2" fillId="0" borderId="19" xfId="0" applyFont="1" applyBorder="1" applyAlignment="1">
      <alignment horizontal="left"/>
    </xf>
    <xf numFmtId="8" fontId="2" fillId="0" borderId="19" xfId="0" applyNumberFormat="1" applyFont="1" applyBorder="1" applyAlignment="1">
      <alignment horizontal="left"/>
    </xf>
    <xf numFmtId="14" fontId="2" fillId="0" borderId="3" xfId="0" applyNumberFormat="1" applyFont="1" applyBorder="1"/>
    <xf numFmtId="0" fontId="2" fillId="0" borderId="20" xfId="0" applyFont="1" applyBorder="1"/>
    <xf numFmtId="14" fontId="6" fillId="0" borderId="20" xfId="0" applyNumberFormat="1" applyFont="1" applyBorder="1" applyAlignment="1">
      <alignment horizontal="center" vertical="top"/>
    </xf>
    <xf numFmtId="14" fontId="6" fillId="0" borderId="21" xfId="0" applyNumberFormat="1" applyFont="1" applyBorder="1" applyAlignment="1">
      <alignment horizontal="center" vertical="top"/>
    </xf>
    <xf numFmtId="0" fontId="9" fillId="38" borderId="133" xfId="0" applyFont="1" applyFill="1" applyBorder="1" applyAlignment="1">
      <alignment horizontal="left" vertical="top" wrapText="1"/>
    </xf>
    <xf numFmtId="0" fontId="9" fillId="38" borderId="134" xfId="0" applyFont="1" applyFill="1" applyBorder="1" applyAlignment="1">
      <alignment horizontal="left" vertical="top" wrapText="1"/>
    </xf>
    <xf numFmtId="0" fontId="15" fillId="38" borderId="134" xfId="0" applyFont="1" applyFill="1" applyBorder="1" applyAlignment="1">
      <alignment horizontal="left" vertical="center" wrapText="1"/>
    </xf>
    <xf numFmtId="0" fontId="15" fillId="38" borderId="135" xfId="0" applyFont="1" applyFill="1" applyBorder="1" applyAlignment="1">
      <alignment horizontal="left" vertical="center" wrapText="1"/>
    </xf>
    <xf numFmtId="0" fontId="12" fillId="38" borderId="21" xfId="0" applyFont="1" applyFill="1" applyBorder="1" applyAlignment="1">
      <alignment horizontal="left" vertical="top"/>
    </xf>
    <xf numFmtId="0" fontId="12" fillId="38" borderId="14" xfId="0" applyFont="1" applyFill="1" applyBorder="1" applyAlignment="1">
      <alignment horizontal="left" vertical="top"/>
    </xf>
    <xf numFmtId="14" fontId="16" fillId="38" borderId="14" xfId="0" applyNumberFormat="1" applyFont="1" applyFill="1" applyBorder="1" applyAlignment="1">
      <alignment horizontal="center" vertical="top" wrapText="1"/>
    </xf>
    <xf numFmtId="0" fontId="12" fillId="38" borderId="14" xfId="0" applyFont="1" applyFill="1" applyBorder="1" applyAlignment="1">
      <alignment horizontal="left" vertical="top" wrapText="1"/>
    </xf>
    <xf numFmtId="0" fontId="12" fillId="38" borderId="20" xfId="0" applyFont="1" applyFill="1" applyBorder="1" applyAlignment="1">
      <alignment horizontal="left" vertical="top" wrapText="1"/>
    </xf>
    <xf numFmtId="14" fontId="6" fillId="17" borderId="14" xfId="0" applyNumberFormat="1" applyFont="1" applyFill="1" applyBorder="1" applyAlignment="1">
      <alignment horizontal="center" vertical="top"/>
    </xf>
    <xf numFmtId="0" fontId="6" fillId="17" borderId="21" xfId="0" applyFont="1" applyFill="1" applyBorder="1" applyAlignment="1">
      <alignment horizontal="left" vertical="top" wrapText="1"/>
    </xf>
    <xf numFmtId="0" fontId="6" fillId="17" borderId="14" xfId="0" applyFont="1" applyFill="1" applyBorder="1" applyAlignment="1">
      <alignment horizontal="left" vertical="top" wrapText="1"/>
    </xf>
    <xf numFmtId="0" fontId="6" fillId="17" borderId="134" xfId="0" applyFont="1" applyFill="1" applyBorder="1" applyAlignment="1">
      <alignment horizontal="left" vertical="top"/>
    </xf>
    <xf numFmtId="0" fontId="6" fillId="17" borderId="14" xfId="0" applyFont="1" applyFill="1" applyBorder="1" applyAlignment="1">
      <alignment horizontal="left" wrapText="1"/>
    </xf>
    <xf numFmtId="0" fontId="6" fillId="17" borderId="133" xfId="0" applyFont="1" applyFill="1" applyBorder="1" applyAlignment="1">
      <alignment horizontal="left" wrapText="1"/>
    </xf>
    <xf numFmtId="0" fontId="6" fillId="17" borderId="133" xfId="0" applyFont="1" applyFill="1" applyBorder="1" applyAlignment="1">
      <alignment horizontal="left" vertical="top" wrapText="1"/>
    </xf>
    <xf numFmtId="0" fontId="6" fillId="17" borderId="134" xfId="0" applyFont="1" applyFill="1" applyBorder="1" applyAlignment="1">
      <alignment horizontal="left" vertical="top" wrapText="1"/>
    </xf>
    <xf numFmtId="0" fontId="6" fillId="17" borderId="133" xfId="0" applyFont="1" applyFill="1" applyBorder="1" applyAlignment="1">
      <alignment horizontal="left" vertical="top"/>
    </xf>
    <xf numFmtId="0" fontId="6" fillId="0" borderId="127" xfId="0" applyFont="1" applyBorder="1" applyAlignment="1">
      <alignment horizontal="left" vertical="top"/>
    </xf>
    <xf numFmtId="0" fontId="20" fillId="24" borderId="100" xfId="0" applyFont="1" applyFill="1" applyBorder="1" applyAlignment="1">
      <alignment horizontal="left" vertical="top" wrapText="1"/>
    </xf>
    <xf numFmtId="0" fontId="21" fillId="24" borderId="100" xfId="0" applyFont="1" applyFill="1" applyBorder="1" applyAlignment="1">
      <alignment horizontal="left" vertical="top" wrapText="1"/>
    </xf>
    <xf numFmtId="0" fontId="18" fillId="24" borderId="105" xfId="0" applyFont="1" applyFill="1" applyBorder="1" applyAlignment="1">
      <alignment horizontal="left" vertical="top" wrapText="1"/>
    </xf>
    <xf numFmtId="0" fontId="18" fillId="24" borderId="100" xfId="0" applyFont="1" applyFill="1" applyBorder="1" applyAlignment="1">
      <alignment horizontal="left" vertical="top" wrapText="1"/>
    </xf>
    <xf numFmtId="0" fontId="9" fillId="24" borderId="20" xfId="0" applyFont="1" applyFill="1" applyBorder="1" applyAlignment="1">
      <alignment horizontal="left" vertical="top" wrapText="1"/>
    </xf>
    <xf numFmtId="0" fontId="9" fillId="24" borderId="19" xfId="0" applyFont="1" applyFill="1" applyBorder="1" applyAlignment="1">
      <alignment horizontal="left" vertical="top" wrapText="1"/>
    </xf>
    <xf numFmtId="0" fontId="9" fillId="24" borderId="21" xfId="0" applyFont="1" applyFill="1" applyBorder="1" applyAlignment="1">
      <alignment horizontal="left" vertical="top" wrapText="1"/>
    </xf>
    <xf numFmtId="0" fontId="21" fillId="24" borderId="132" xfId="0" applyFont="1" applyFill="1" applyBorder="1" applyAlignment="1">
      <alignment horizontal="left" vertical="top" wrapText="1"/>
    </xf>
    <xf numFmtId="0" fontId="19" fillId="17" borderId="133" xfId="0" applyFont="1" applyFill="1" applyBorder="1" applyAlignment="1">
      <alignment horizontal="left" vertical="top"/>
    </xf>
    <xf numFmtId="0" fontId="19" fillId="17" borderId="134" xfId="0" applyFont="1" applyFill="1" applyBorder="1" applyAlignment="1">
      <alignment horizontal="left" vertical="top"/>
    </xf>
    <xf numFmtId="0" fontId="0" fillId="24" borderId="100" xfId="0" applyFill="1" applyBorder="1" applyAlignment="1">
      <alignment horizontal="left" vertical="top" wrapText="1"/>
    </xf>
    <xf numFmtId="0" fontId="12" fillId="17" borderId="14" xfId="0" applyFont="1" applyFill="1" applyBorder="1" applyAlignment="1">
      <alignment horizontal="left" vertical="top"/>
    </xf>
    <xf numFmtId="0" fontId="12" fillId="17" borderId="20" xfId="0" applyFont="1" applyFill="1" applyBorder="1" applyAlignment="1">
      <alignment horizontal="left" vertical="top"/>
    </xf>
    <xf numFmtId="14" fontId="36" fillId="17" borderId="14" xfId="0" applyNumberFormat="1" applyFont="1" applyFill="1" applyBorder="1" applyAlignment="1">
      <alignment horizontal="center" vertical="top"/>
    </xf>
    <xf numFmtId="14" fontId="36" fillId="17" borderId="20" xfId="0" applyNumberFormat="1" applyFont="1" applyFill="1" applyBorder="1" applyAlignment="1">
      <alignment horizontal="center" vertical="top"/>
    </xf>
    <xf numFmtId="0" fontId="0" fillId="17" borderId="134" xfId="0" applyFill="1" applyBorder="1" applyAlignment="1">
      <alignment horizontal="left" vertical="top"/>
    </xf>
    <xf numFmtId="0" fontId="0" fillId="17" borderId="135" xfId="0" applyFill="1" applyBorder="1" applyAlignment="1">
      <alignment horizontal="left" vertical="top"/>
    </xf>
    <xf numFmtId="14" fontId="6" fillId="0" borderId="19" xfId="0" applyNumberFormat="1" applyFont="1" applyBorder="1" applyAlignment="1">
      <alignment horizontal="center" vertical="top"/>
    </xf>
    <xf numFmtId="14" fontId="6" fillId="6" borderId="14" xfId="0" applyNumberFormat="1" applyFont="1" applyFill="1" applyBorder="1" applyAlignment="1">
      <alignment horizontal="center" vertical="top"/>
    </xf>
    <xf numFmtId="0" fontId="6" fillId="0" borderId="126" xfId="0" applyFont="1" applyBorder="1" applyAlignment="1">
      <alignment horizontal="left" vertical="top"/>
    </xf>
    <xf numFmtId="0" fontId="151" fillId="35" borderId="0" xfId="18" applyFont="1" applyFill="1" applyAlignment="1">
      <alignment horizontal="center" vertical="center" wrapText="1"/>
    </xf>
    <xf numFmtId="0" fontId="0" fillId="0" borderId="0" xfId="0" applyAlignment="1">
      <alignment vertical="center" wrapText="1"/>
    </xf>
    <xf numFmtId="0" fontId="9" fillId="0" borderId="20" xfId="0" applyFont="1" applyBorder="1" applyAlignment="1">
      <alignment vertical="top" wrapText="1"/>
    </xf>
    <xf numFmtId="0" fontId="9" fillId="0" borderId="19" xfId="0" applyFont="1" applyBorder="1" applyAlignment="1">
      <alignment vertical="top" wrapText="1"/>
    </xf>
    <xf numFmtId="0" fontId="9" fillId="0" borderId="21" xfId="0" applyFont="1" applyBorder="1" applyAlignment="1">
      <alignment vertical="top" wrapText="1"/>
    </xf>
    <xf numFmtId="0" fontId="12" fillId="24" borderId="97" xfId="0" applyFont="1" applyFill="1" applyBorder="1" applyAlignment="1">
      <alignment horizontal="left" vertical="top" wrapText="1"/>
    </xf>
    <xf numFmtId="0" fontId="12" fillId="24" borderId="100" xfId="0" applyFont="1" applyFill="1" applyBorder="1" applyAlignment="1">
      <alignment horizontal="left" vertical="top" wrapText="1"/>
    </xf>
    <xf numFmtId="0" fontId="21" fillId="24" borderId="20" xfId="0" applyFont="1" applyFill="1" applyBorder="1" applyAlignment="1">
      <alignment horizontal="left" vertical="top" wrapText="1"/>
    </xf>
    <xf numFmtId="0" fontId="21" fillId="24" borderId="19" xfId="0" applyFont="1" applyFill="1" applyBorder="1" applyAlignment="1">
      <alignment horizontal="left" vertical="top" wrapText="1"/>
    </xf>
    <xf numFmtId="0" fontId="21" fillId="24" borderId="105" xfId="0" applyFont="1" applyFill="1" applyBorder="1" applyAlignment="1">
      <alignment horizontal="left" vertical="top" wrapText="1"/>
    </xf>
    <xf numFmtId="0" fontId="9" fillId="24" borderId="105" xfId="0" applyFont="1" applyFill="1" applyBorder="1" applyAlignment="1">
      <alignment horizontal="left" vertical="top" wrapText="1"/>
    </xf>
    <xf numFmtId="14" fontId="21" fillId="24" borderId="20" xfId="0" applyNumberFormat="1" applyFont="1" applyFill="1" applyBorder="1" applyAlignment="1">
      <alignment horizontal="center" vertical="top" wrapText="1"/>
    </xf>
    <xf numFmtId="0" fontId="21" fillId="24" borderId="19" xfId="0" applyFont="1" applyFill="1" applyBorder="1" applyAlignment="1">
      <alignment horizontal="center" vertical="top" wrapText="1"/>
    </xf>
    <xf numFmtId="0" fontId="21" fillId="24" borderId="21" xfId="0" applyFont="1" applyFill="1" applyBorder="1" applyAlignment="1">
      <alignment horizontal="center"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67" xfId="0" applyBorder="1" applyAlignment="1">
      <alignment horizontal="center" vertical="top" wrapText="1"/>
    </xf>
    <xf numFmtId="0" fontId="0" fillId="0" borderId="25" xfId="0" applyBorder="1" applyAlignment="1">
      <alignment horizontal="center" vertical="top" wrapText="1"/>
    </xf>
    <xf numFmtId="0" fontId="0" fillId="0" borderId="141" xfId="0" applyBorder="1" applyAlignment="1">
      <alignment horizontal="center" vertical="top" wrapText="1"/>
    </xf>
    <xf numFmtId="0" fontId="0" fillId="16" borderId="61" xfId="0" applyFill="1" applyBorder="1" applyAlignment="1">
      <alignment horizontal="center"/>
    </xf>
    <xf numFmtId="0" fontId="0" fillId="16" borderId="62" xfId="0" applyFill="1" applyBorder="1" applyAlignment="1">
      <alignment horizontal="center"/>
    </xf>
    <xf numFmtId="10" fontId="63" fillId="8" borderId="0" xfId="0" applyNumberFormat="1" applyFont="1" applyFill="1" applyAlignment="1" applyProtection="1">
      <alignment horizontal="center"/>
      <protection hidden="1"/>
    </xf>
    <xf numFmtId="2" fontId="73" fillId="8" borderId="71" xfId="0" applyNumberFormat="1" applyFont="1" applyFill="1" applyBorder="1" applyAlignment="1" applyProtection="1">
      <alignment horizontal="center" vertical="center"/>
      <protection hidden="1"/>
    </xf>
    <xf numFmtId="2" fontId="73" fillId="8" borderId="72" xfId="0" applyNumberFormat="1" applyFont="1" applyFill="1" applyBorder="1" applyAlignment="1" applyProtection="1">
      <alignment horizontal="center" vertical="center"/>
      <protection hidden="1"/>
    </xf>
    <xf numFmtId="2" fontId="83" fillId="8" borderId="49" xfId="0" applyNumberFormat="1" applyFont="1" applyFill="1" applyBorder="1" applyAlignment="1" applyProtection="1">
      <alignment horizontal="center" vertical="center"/>
      <protection hidden="1"/>
    </xf>
    <xf numFmtId="2" fontId="83" fillId="8" borderId="51" xfId="0" applyNumberFormat="1" applyFont="1" applyFill="1" applyBorder="1" applyAlignment="1" applyProtection="1">
      <alignment horizontal="center" vertical="center"/>
      <protection hidden="1"/>
    </xf>
    <xf numFmtId="2" fontId="83" fillId="8" borderId="50" xfId="0" applyNumberFormat="1" applyFont="1" applyFill="1" applyBorder="1" applyAlignment="1" applyProtection="1">
      <alignment horizontal="center" vertical="center"/>
      <protection hidden="1"/>
    </xf>
    <xf numFmtId="0" fontId="62" fillId="8" borderId="56" xfId="0" applyFont="1" applyFill="1" applyBorder="1" applyAlignment="1" applyProtection="1">
      <alignment horizontal="center" vertical="center"/>
      <protection hidden="1"/>
    </xf>
    <xf numFmtId="0" fontId="62" fillId="8" borderId="57" xfId="0" applyFont="1" applyFill="1" applyBorder="1" applyAlignment="1" applyProtection="1">
      <alignment horizontal="center" vertical="center"/>
      <protection hidden="1"/>
    </xf>
    <xf numFmtId="0" fontId="0" fillId="0" borderId="12" xfId="0" applyBorder="1" applyAlignment="1">
      <alignment horizontal="center"/>
    </xf>
    <xf numFmtId="0" fontId="0" fillId="0" borderId="18" xfId="0" applyBorder="1" applyAlignment="1">
      <alignment horizontal="center"/>
    </xf>
    <xf numFmtId="0" fontId="0" fillId="0" borderId="13" xfId="0" applyBorder="1" applyAlignment="1">
      <alignment horizontal="center"/>
    </xf>
    <xf numFmtId="0" fontId="58" fillId="7" borderId="62" xfId="0" applyFont="1" applyFill="1" applyBorder="1" applyAlignment="1">
      <alignment horizontal="left" vertical="top" wrapText="1"/>
    </xf>
    <xf numFmtId="0" fontId="86" fillId="6" borderId="14" xfId="0" applyFont="1" applyFill="1" applyBorder="1" applyAlignment="1">
      <alignment horizontal="left" vertical="top"/>
    </xf>
    <xf numFmtId="0" fontId="0" fillId="16" borderId="12" xfId="0" applyFill="1" applyBorder="1" applyAlignment="1">
      <alignment horizontal="center" wrapText="1"/>
    </xf>
    <xf numFmtId="0" fontId="0" fillId="16" borderId="13" xfId="0" applyFill="1" applyBorder="1" applyAlignment="1">
      <alignment horizontal="center" wrapText="1"/>
    </xf>
    <xf numFmtId="0" fontId="0" fillId="16" borderId="12" xfId="0" applyFill="1" applyBorder="1" applyAlignment="1">
      <alignment horizontal="center"/>
    </xf>
    <xf numFmtId="0" fontId="0" fillId="16" borderId="13" xfId="0" applyFill="1" applyBorder="1" applyAlignment="1">
      <alignment horizontal="center"/>
    </xf>
    <xf numFmtId="0" fontId="63" fillId="32" borderId="59" xfId="0" applyFont="1" applyFill="1" applyBorder="1" applyAlignment="1">
      <alignment wrapText="1"/>
    </xf>
    <xf numFmtId="0" fontId="63" fillId="32" borderId="58" xfId="0" applyFont="1" applyFill="1" applyBorder="1" applyAlignment="1">
      <alignment wrapText="1"/>
    </xf>
    <xf numFmtId="0" fontId="63" fillId="32" borderId="60" xfId="0" applyFont="1" applyFill="1" applyBorder="1" applyAlignment="1">
      <alignment wrapText="1"/>
    </xf>
    <xf numFmtId="0" fontId="129" fillId="6" borderId="43" xfId="0" applyFont="1" applyFill="1" applyBorder="1" applyAlignment="1">
      <alignment horizontal="center"/>
    </xf>
    <xf numFmtId="0" fontId="129" fillId="6" borderId="78" xfId="0" applyFont="1" applyFill="1" applyBorder="1" applyAlignment="1">
      <alignment horizontal="center"/>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76" xfId="0" applyBorder="1" applyAlignment="1">
      <alignment horizontal="center"/>
    </xf>
    <xf numFmtId="0" fontId="0" fillId="0" borderId="37" xfId="0" applyBorder="1" applyAlignment="1">
      <alignment horizontal="center"/>
    </xf>
    <xf numFmtId="0" fontId="0" fillId="0" borderId="77" xfId="0" applyBorder="1" applyAlignment="1">
      <alignment horizontal="center"/>
    </xf>
    <xf numFmtId="0" fontId="0" fillId="0" borderId="69" xfId="0" applyBorder="1" applyAlignment="1">
      <alignment horizontal="center"/>
    </xf>
    <xf numFmtId="0" fontId="86" fillId="6" borderId="14" xfId="0" applyFont="1" applyFill="1" applyBorder="1" applyAlignment="1">
      <alignment horizontal="left" vertical="top" wrapText="1"/>
    </xf>
    <xf numFmtId="0" fontId="86" fillId="6" borderId="20" xfId="0" applyFont="1" applyFill="1" applyBorder="1" applyAlignment="1">
      <alignment horizontal="left" vertical="top" wrapText="1"/>
    </xf>
    <xf numFmtId="0" fontId="86" fillId="6" borderId="12" xfId="0" applyFont="1" applyFill="1" applyBorder="1" applyAlignment="1">
      <alignment horizontal="left" vertical="top"/>
    </xf>
    <xf numFmtId="0" fontId="86" fillId="6" borderId="13" xfId="0" applyFont="1" applyFill="1" applyBorder="1" applyAlignment="1">
      <alignment horizontal="left" vertical="top"/>
    </xf>
    <xf numFmtId="0" fontId="68" fillId="6" borderId="9" xfId="0" applyFont="1" applyFill="1" applyBorder="1" applyAlignment="1">
      <alignment horizontal="left"/>
    </xf>
    <xf numFmtId="0" fontId="68" fillId="6" borderId="11" xfId="0" applyFont="1" applyFill="1" applyBorder="1" applyAlignment="1">
      <alignment horizontal="left"/>
    </xf>
    <xf numFmtId="0" fontId="0" fillId="6" borderId="14" xfId="0" applyFill="1" applyBorder="1" applyAlignment="1">
      <alignment horizontal="left" vertical="top"/>
    </xf>
    <xf numFmtId="0" fontId="62" fillId="8" borderId="9" xfId="0" applyFont="1" applyFill="1" applyBorder="1" applyAlignment="1">
      <alignment horizontal="center" wrapText="1"/>
    </xf>
    <xf numFmtId="0" fontId="62" fillId="8" borderId="10" xfId="0" applyFont="1" applyFill="1" applyBorder="1" applyAlignment="1">
      <alignment horizontal="center" wrapText="1"/>
    </xf>
    <xf numFmtId="0" fontId="62" fillId="8" borderId="63" xfId="0" applyFont="1" applyFill="1" applyBorder="1" applyAlignment="1">
      <alignment horizontal="center" wrapText="1"/>
    </xf>
    <xf numFmtId="0" fontId="59" fillId="22" borderId="1" xfId="0" applyFont="1" applyFill="1" applyBorder="1" applyAlignment="1">
      <alignment horizontal="center" vertical="center" wrapText="1"/>
    </xf>
    <xf numFmtId="0" fontId="59" fillId="22" borderId="2" xfId="0" applyFont="1" applyFill="1" applyBorder="1" applyAlignment="1">
      <alignment horizontal="center" vertical="center" wrapText="1"/>
    </xf>
    <xf numFmtId="0" fontId="59" fillId="22" borderId="3" xfId="0" applyFont="1" applyFill="1" applyBorder="1" applyAlignment="1">
      <alignment horizontal="center" vertical="center" wrapText="1"/>
    </xf>
    <xf numFmtId="0" fontId="59" fillId="22" borderId="6" xfId="0" applyFont="1" applyFill="1" applyBorder="1" applyAlignment="1">
      <alignment horizontal="center" vertical="center" wrapText="1"/>
    </xf>
    <xf numFmtId="0" fontId="59" fillId="22" borderId="7" xfId="0" applyFont="1" applyFill="1" applyBorder="1" applyAlignment="1">
      <alignment horizontal="center" vertical="center" wrapText="1"/>
    </xf>
    <xf numFmtId="0" fontId="59" fillId="22" borderId="8" xfId="0" applyFont="1" applyFill="1" applyBorder="1" applyAlignment="1">
      <alignment horizontal="center" vertical="center" wrapText="1"/>
    </xf>
    <xf numFmtId="0" fontId="82" fillId="0" borderId="0" xfId="0" applyFont="1" applyAlignment="1">
      <alignment horizontal="left" vertical="top" wrapText="1"/>
    </xf>
    <xf numFmtId="0" fontId="82" fillId="0" borderId="0" xfId="0" applyFont="1" applyAlignment="1">
      <alignment vertical="top" wrapText="1"/>
    </xf>
    <xf numFmtId="0" fontId="82" fillId="0" borderId="0" xfId="0" applyFont="1" applyAlignment="1">
      <alignment horizontal="left" wrapText="1"/>
    </xf>
    <xf numFmtId="0" fontId="82" fillId="6" borderId="0" xfId="0" applyFont="1" applyFill="1" applyAlignment="1">
      <alignment horizontal="center" vertical="top" wrapText="1"/>
    </xf>
    <xf numFmtId="0" fontId="11" fillId="3" borderId="7" xfId="0" applyFont="1" applyFill="1" applyBorder="1" applyAlignment="1" applyProtection="1">
      <alignment horizontal="center"/>
      <protection locked="0"/>
    </xf>
    <xf numFmtId="0" fontId="56" fillId="3" borderId="7" xfId="0" applyFont="1" applyFill="1" applyBorder="1" applyAlignment="1" applyProtection="1">
      <alignment horizontal="center"/>
      <protection locked="0"/>
    </xf>
    <xf numFmtId="0" fontId="56" fillId="3" borderId="12" xfId="0" applyFont="1" applyFill="1" applyBorder="1" applyAlignment="1">
      <alignment horizontal="center"/>
    </xf>
    <xf numFmtId="0" fontId="56" fillId="3" borderId="13" xfId="0" applyFont="1" applyFill="1" applyBorder="1" applyAlignment="1">
      <alignment horizontal="center"/>
    </xf>
    <xf numFmtId="0" fontId="60" fillId="2" borderId="1" xfId="0" applyFont="1" applyFill="1" applyBorder="1" applyAlignment="1" applyProtection="1">
      <alignment horizontal="center" wrapText="1"/>
      <protection hidden="1"/>
    </xf>
    <xf numFmtId="0" fontId="60" fillId="2" borderId="2" xfId="0" applyFont="1" applyFill="1" applyBorder="1" applyAlignment="1" applyProtection="1">
      <alignment horizontal="center" wrapText="1"/>
      <protection hidden="1"/>
    </xf>
    <xf numFmtId="0" fontId="60" fillId="2" borderId="3" xfId="0" applyFont="1" applyFill="1" applyBorder="1" applyAlignment="1" applyProtection="1">
      <alignment horizontal="center" wrapText="1"/>
      <protection hidden="1"/>
    </xf>
    <xf numFmtId="0" fontId="60" fillId="2" borderId="4" xfId="0" applyFont="1" applyFill="1" applyBorder="1" applyAlignment="1" applyProtection="1">
      <alignment horizontal="center"/>
      <protection hidden="1"/>
    </xf>
    <xf numFmtId="0" fontId="60" fillId="2" borderId="0" xfId="0" applyFont="1" applyFill="1" applyAlignment="1" applyProtection="1">
      <alignment horizontal="center"/>
      <protection hidden="1"/>
    </xf>
    <xf numFmtId="0" fontId="60" fillId="2" borderId="5" xfId="0" applyFont="1" applyFill="1" applyBorder="1" applyAlignment="1" applyProtection="1">
      <alignment horizontal="center"/>
      <protection hidden="1"/>
    </xf>
    <xf numFmtId="0" fontId="53" fillId="3" borderId="9" xfId="0" applyFont="1" applyFill="1" applyBorder="1" applyAlignment="1" applyProtection="1">
      <alignment horizontal="center"/>
      <protection locked="0"/>
    </xf>
    <xf numFmtId="0" fontId="56" fillId="3" borderId="10" xfId="0" applyFont="1" applyFill="1" applyBorder="1" applyAlignment="1" applyProtection="1">
      <alignment horizontal="center"/>
      <protection locked="0"/>
    </xf>
    <xf numFmtId="0" fontId="56" fillId="3" borderId="11" xfId="0" applyFont="1" applyFill="1" applyBorder="1" applyAlignment="1" applyProtection="1">
      <alignment horizontal="center"/>
      <protection locked="0"/>
    </xf>
    <xf numFmtId="0" fontId="56" fillId="3" borderId="12" xfId="0" applyFont="1" applyFill="1" applyBorder="1" applyAlignment="1" applyProtection="1">
      <alignment horizontal="center"/>
      <protection locked="0"/>
    </xf>
    <xf numFmtId="0" fontId="56" fillId="3" borderId="13" xfId="0" applyFont="1" applyFill="1" applyBorder="1" applyAlignment="1" applyProtection="1">
      <alignment horizontal="center"/>
      <protection locked="0"/>
    </xf>
    <xf numFmtId="14" fontId="100" fillId="0" borderId="1" xfId="0" applyNumberFormat="1" applyFont="1" applyBorder="1" applyAlignment="1" applyProtection="1">
      <alignment horizontal="center"/>
      <protection hidden="1"/>
    </xf>
    <xf numFmtId="0" fontId="100" fillId="0" borderId="2" xfId="0" applyFont="1" applyBorder="1" applyAlignment="1">
      <alignment horizontal="center"/>
    </xf>
    <xf numFmtId="180" fontId="56" fillId="3" borderId="12" xfId="0" applyNumberFormat="1" applyFont="1" applyFill="1" applyBorder="1" applyAlignment="1" applyProtection="1">
      <alignment horizontal="center"/>
      <protection locked="0"/>
    </xf>
    <xf numFmtId="180" fontId="56" fillId="3" borderId="13" xfId="0" applyNumberFormat="1" applyFont="1" applyFill="1" applyBorder="1" applyAlignment="1" applyProtection="1">
      <alignment horizontal="center"/>
      <protection locked="0"/>
    </xf>
    <xf numFmtId="0" fontId="68" fillId="4" borderId="7" xfId="0" applyFont="1" applyFill="1" applyBorder="1" applyProtection="1">
      <protection locked="0"/>
    </xf>
    <xf numFmtId="0" fontId="0" fillId="0" borderId="7" xfId="0" applyBorder="1" applyProtection="1">
      <protection locked="0"/>
    </xf>
    <xf numFmtId="0" fontId="68" fillId="4" borderId="7" xfId="0" applyFont="1" applyFill="1" applyBorder="1" applyAlignment="1" applyProtection="1">
      <alignment vertical="top"/>
      <protection locked="0"/>
    </xf>
    <xf numFmtId="0" fontId="56" fillId="0" borderId="0" xfId="0" applyFont="1" applyAlignment="1">
      <alignment horizontal="center"/>
    </xf>
    <xf numFmtId="0" fontId="70" fillId="5" borderId="9" xfId="1" applyFill="1" applyBorder="1" applyAlignment="1" applyProtection="1">
      <alignment horizontal="center" wrapText="1"/>
    </xf>
    <xf numFmtId="0" fontId="70" fillId="0" borderId="10" xfId="1" applyBorder="1" applyAlignment="1" applyProtection="1"/>
    <xf numFmtId="0" fontId="70" fillId="0" borderId="11" xfId="1" applyBorder="1" applyAlignment="1" applyProtection="1"/>
    <xf numFmtId="49" fontId="70" fillId="4" borderId="7" xfId="1" applyNumberFormat="1" applyFill="1" applyBorder="1" applyAlignment="1" applyProtection="1">
      <alignment horizontal="left"/>
      <protection locked="0"/>
    </xf>
    <xf numFmtId="49" fontId="0" fillId="0" borderId="7" xfId="0" applyNumberFormat="1" applyBorder="1" applyAlignment="1" applyProtection="1">
      <alignment horizontal="left"/>
      <protection locked="0"/>
    </xf>
    <xf numFmtId="49" fontId="70" fillId="4" borderId="7" xfId="1" applyNumberFormat="1" applyFill="1" applyBorder="1" applyAlignment="1" applyProtection="1">
      <protection locked="0"/>
    </xf>
    <xf numFmtId="49" fontId="0" fillId="0" borderId="7" xfId="0" applyNumberFormat="1" applyBorder="1" applyProtection="1">
      <protection locked="0"/>
    </xf>
    <xf numFmtId="49" fontId="68" fillId="4" borderId="7" xfId="0" applyNumberFormat="1" applyFont="1" applyFill="1" applyBorder="1" applyAlignment="1" applyProtection="1">
      <alignment horizontal="left"/>
      <protection locked="0"/>
    </xf>
    <xf numFmtId="49" fontId="68" fillId="4" borderId="7" xfId="0" applyNumberFormat="1" applyFont="1" applyFill="1" applyBorder="1" applyProtection="1">
      <protection locked="0"/>
    </xf>
    <xf numFmtId="0" fontId="39" fillId="17" borderId="1" xfId="0" applyFont="1" applyFill="1" applyBorder="1" applyAlignment="1" applyProtection="1">
      <alignment horizontal="left" vertical="top"/>
      <protection locked="0"/>
    </xf>
    <xf numFmtId="0" fontId="54" fillId="17" borderId="2" xfId="0" applyFont="1" applyFill="1" applyBorder="1" applyAlignment="1" applyProtection="1">
      <alignment horizontal="left" vertical="top"/>
      <protection locked="0"/>
    </xf>
    <xf numFmtId="0" fontId="54" fillId="17" borderId="3" xfId="0" applyFont="1" applyFill="1" applyBorder="1" applyAlignment="1" applyProtection="1">
      <alignment horizontal="left" vertical="top"/>
      <protection locked="0"/>
    </xf>
    <xf numFmtId="0" fontId="54" fillId="17" borderId="4" xfId="0" applyFont="1" applyFill="1" applyBorder="1" applyAlignment="1" applyProtection="1">
      <alignment horizontal="left" vertical="top"/>
      <protection locked="0"/>
    </xf>
    <xf numFmtId="0" fontId="54" fillId="17" borderId="0" xfId="0" applyFont="1" applyFill="1" applyAlignment="1" applyProtection="1">
      <alignment horizontal="left" vertical="top"/>
      <protection locked="0"/>
    </xf>
    <xf numFmtId="0" fontId="54" fillId="17" borderId="5" xfId="0" applyFont="1" applyFill="1" applyBorder="1" applyAlignment="1" applyProtection="1">
      <alignment horizontal="left" vertical="top"/>
      <protection locked="0"/>
    </xf>
    <xf numFmtId="0" fontId="54" fillId="17" borderId="6" xfId="0" applyFont="1" applyFill="1" applyBorder="1" applyAlignment="1" applyProtection="1">
      <alignment horizontal="left" vertical="top"/>
      <protection locked="0"/>
    </xf>
    <xf numFmtId="0" fontId="54" fillId="17" borderId="7" xfId="0" applyFont="1" applyFill="1" applyBorder="1" applyAlignment="1" applyProtection="1">
      <alignment horizontal="left" vertical="top"/>
      <protection locked="0"/>
    </xf>
    <xf numFmtId="0" fontId="54" fillId="17" borderId="8" xfId="0" applyFont="1" applyFill="1" applyBorder="1" applyAlignment="1" applyProtection="1">
      <alignment horizontal="left" vertical="top"/>
      <protection locked="0"/>
    </xf>
    <xf numFmtId="0" fontId="0" fillId="17" borderId="1" xfId="0" applyFill="1" applyBorder="1" applyAlignment="1" applyProtection="1">
      <alignment horizontal="left" vertical="top"/>
      <protection locked="0"/>
    </xf>
    <xf numFmtId="0" fontId="0" fillId="17" borderId="2" xfId="0" applyFill="1" applyBorder="1" applyAlignment="1" applyProtection="1">
      <alignment horizontal="left" vertical="top"/>
      <protection locked="0"/>
    </xf>
    <xf numFmtId="0" fontId="0" fillId="17" borderId="3" xfId="0" applyFill="1" applyBorder="1" applyAlignment="1" applyProtection="1">
      <alignment horizontal="left" vertical="top"/>
      <protection locked="0"/>
    </xf>
    <xf numFmtId="0" fontId="0" fillId="17" borderId="4" xfId="0" applyFill="1" applyBorder="1" applyAlignment="1" applyProtection="1">
      <alignment horizontal="left" vertical="top"/>
      <protection locked="0"/>
    </xf>
    <xf numFmtId="0" fontId="0" fillId="17" borderId="0" xfId="0" applyFill="1" applyAlignment="1" applyProtection="1">
      <alignment horizontal="left" vertical="top"/>
      <protection locked="0"/>
    </xf>
    <xf numFmtId="0" fontId="0" fillId="17" borderId="5" xfId="0" applyFill="1" applyBorder="1" applyAlignment="1" applyProtection="1">
      <alignment horizontal="left" vertical="top"/>
      <protection locked="0"/>
    </xf>
    <xf numFmtId="0" fontId="0" fillId="17" borderId="6" xfId="0" applyFill="1" applyBorder="1" applyAlignment="1" applyProtection="1">
      <alignment horizontal="left" vertical="top"/>
      <protection locked="0"/>
    </xf>
    <xf numFmtId="0" fontId="0" fillId="17" borderId="7" xfId="0" applyFill="1" applyBorder="1" applyAlignment="1" applyProtection="1">
      <alignment horizontal="left" vertical="top"/>
      <protection locked="0"/>
    </xf>
    <xf numFmtId="0" fontId="0" fillId="17" borderId="8" xfId="0" applyFill="1" applyBorder="1" applyAlignment="1" applyProtection="1">
      <alignment horizontal="left" vertical="top"/>
      <protection locked="0"/>
    </xf>
    <xf numFmtId="0" fontId="0" fillId="17" borderId="1" xfId="0" applyFill="1" applyBorder="1" applyAlignment="1" applyProtection="1">
      <alignment horizontal="left" vertical="top" wrapText="1"/>
      <protection locked="0"/>
    </xf>
    <xf numFmtId="0" fontId="0" fillId="17" borderId="2" xfId="0" applyFill="1" applyBorder="1" applyAlignment="1" applyProtection="1">
      <alignment horizontal="left" vertical="top" wrapText="1"/>
      <protection locked="0"/>
    </xf>
    <xf numFmtId="0" fontId="0" fillId="17" borderId="3" xfId="0" applyFill="1" applyBorder="1" applyAlignment="1" applyProtection="1">
      <alignment horizontal="left" vertical="top" wrapText="1"/>
      <protection locked="0"/>
    </xf>
    <xf numFmtId="0" fontId="0" fillId="17" borderId="4" xfId="0" applyFill="1" applyBorder="1" applyAlignment="1" applyProtection="1">
      <alignment horizontal="left" vertical="top" wrapText="1"/>
      <protection locked="0"/>
    </xf>
    <xf numFmtId="0" fontId="0" fillId="17" borderId="0" xfId="0" applyFill="1" applyAlignment="1" applyProtection="1">
      <alignment horizontal="left" vertical="top" wrapText="1"/>
      <protection locked="0"/>
    </xf>
    <xf numFmtId="0" fontId="0" fillId="17" borderId="5" xfId="0" applyFill="1" applyBorder="1" applyAlignment="1" applyProtection="1">
      <alignment horizontal="left" vertical="top" wrapText="1"/>
      <protection locked="0"/>
    </xf>
    <xf numFmtId="0" fontId="0" fillId="17" borderId="6" xfId="0" applyFill="1" applyBorder="1" applyAlignment="1" applyProtection="1">
      <alignment horizontal="left" vertical="top" wrapText="1"/>
      <protection locked="0"/>
    </xf>
    <xf numFmtId="0" fontId="0" fillId="17" borderId="7" xfId="0" applyFill="1" applyBorder="1" applyAlignment="1" applyProtection="1">
      <alignment horizontal="left" vertical="top" wrapText="1"/>
      <protection locked="0"/>
    </xf>
    <xf numFmtId="0" fontId="0" fillId="17" borderId="8" xfId="0" applyFill="1" applyBorder="1" applyAlignment="1" applyProtection="1">
      <alignment horizontal="left" vertical="top" wrapText="1"/>
      <protection locked="0"/>
    </xf>
    <xf numFmtId="0" fontId="0" fillId="2" borderId="12" xfId="0" applyFill="1" applyBorder="1" applyAlignment="1">
      <alignment horizontal="center"/>
    </xf>
    <xf numFmtId="0" fontId="0" fillId="2" borderId="18" xfId="0" applyFill="1" applyBorder="1" applyAlignment="1">
      <alignment horizontal="center"/>
    </xf>
    <xf numFmtId="0" fontId="0" fillId="2" borderId="13" xfId="0" applyFill="1" applyBorder="1" applyAlignment="1">
      <alignment horizontal="center"/>
    </xf>
    <xf numFmtId="0" fontId="59" fillId="2" borderId="12" xfId="0" applyFont="1" applyFill="1" applyBorder="1" applyAlignment="1">
      <alignment horizontal="center" vertical="center"/>
    </xf>
    <xf numFmtId="0" fontId="59" fillId="2" borderId="18" xfId="0" applyFont="1" applyFill="1" applyBorder="1" applyAlignment="1">
      <alignment horizontal="center" vertical="center"/>
    </xf>
    <xf numFmtId="0" fontId="59" fillId="2" borderId="13" xfId="0" applyFont="1" applyFill="1" applyBorder="1" applyAlignment="1">
      <alignment horizontal="center" vertical="center"/>
    </xf>
    <xf numFmtId="0" fontId="99" fillId="2" borderId="18" xfId="0" applyFont="1" applyFill="1" applyBorder="1" applyAlignment="1">
      <alignment horizontal="center"/>
    </xf>
    <xf numFmtId="0" fontId="99" fillId="2" borderId="13" xfId="0" applyFont="1" applyFill="1" applyBorder="1" applyAlignment="1">
      <alignment horizontal="center"/>
    </xf>
    <xf numFmtId="0" fontId="0" fillId="8" borderId="0" xfId="0" applyFill="1" applyAlignment="1">
      <alignment horizontal="left" wrapText="1"/>
    </xf>
    <xf numFmtId="0" fontId="0" fillId="8" borderId="0" xfId="0" applyFill="1" applyAlignment="1">
      <alignment horizontal="left" vertical="top" wrapText="1"/>
    </xf>
    <xf numFmtId="44" fontId="62" fillId="2" borderId="70" xfId="2" applyFont="1" applyFill="1" applyBorder="1" applyAlignment="1" applyProtection="1">
      <alignment horizontal="center"/>
    </xf>
    <xf numFmtId="44" fontId="62" fillId="2" borderId="64" xfId="2" applyFont="1" applyFill="1" applyBorder="1" applyAlignment="1" applyProtection="1">
      <alignment horizontal="center"/>
    </xf>
    <xf numFmtId="44" fontId="62" fillId="2" borderId="65" xfId="2" applyFont="1" applyFill="1" applyBorder="1" applyAlignment="1" applyProtection="1">
      <alignment horizontal="center"/>
    </xf>
    <xf numFmtId="0" fontId="59" fillId="2" borderId="1" xfId="0" applyFont="1" applyFill="1" applyBorder="1" applyAlignment="1">
      <alignment horizontal="center"/>
    </xf>
    <xf numFmtId="0" fontId="59" fillId="2" borderId="2" xfId="0" applyFont="1" applyFill="1" applyBorder="1" applyAlignment="1">
      <alignment horizontal="center"/>
    </xf>
    <xf numFmtId="0" fontId="59" fillId="2" borderId="4" xfId="0" applyFont="1" applyFill="1" applyBorder="1" applyAlignment="1">
      <alignment horizontal="center"/>
    </xf>
    <xf numFmtId="0" fontId="59" fillId="2" borderId="0" xfId="0" applyFont="1" applyFill="1" applyAlignment="1">
      <alignment horizontal="center"/>
    </xf>
    <xf numFmtId="44" fontId="62" fillId="2" borderId="64" xfId="2" applyFont="1" applyFill="1" applyBorder="1" applyAlignment="1" applyProtection="1">
      <alignment horizontal="left"/>
    </xf>
    <xf numFmtId="44" fontId="62" fillId="2" borderId="65" xfId="2" applyFont="1" applyFill="1" applyBorder="1" applyAlignment="1" applyProtection="1">
      <alignment horizontal="left"/>
    </xf>
    <xf numFmtId="0" fontId="59" fillId="2" borderId="69" xfId="0" applyFont="1" applyFill="1" applyBorder="1" applyAlignment="1">
      <alignment horizontal="center"/>
    </xf>
    <xf numFmtId="0" fontId="59" fillId="2" borderId="64" xfId="0" applyFont="1" applyFill="1" applyBorder="1" applyAlignment="1">
      <alignment horizontal="center"/>
    </xf>
    <xf numFmtId="0" fontId="59" fillId="2" borderId="65" xfId="0" applyFont="1" applyFill="1" applyBorder="1" applyAlignment="1">
      <alignment horizontal="center"/>
    </xf>
    <xf numFmtId="0" fontId="0" fillId="6" borderId="12" xfId="0" applyFill="1" applyBorder="1" applyAlignment="1">
      <alignment horizontal="left" wrapText="1"/>
    </xf>
    <xf numFmtId="0" fontId="0" fillId="6" borderId="13" xfId="0" applyFill="1" applyBorder="1" applyAlignment="1">
      <alignment horizontal="left" wrapText="1"/>
    </xf>
    <xf numFmtId="0" fontId="48" fillId="2" borderId="2" xfId="0" applyFont="1" applyFill="1" applyBorder="1" applyAlignment="1">
      <alignment horizontal="left"/>
    </xf>
    <xf numFmtId="49" fontId="48" fillId="2" borderId="7" xfId="0" applyNumberFormat="1" applyFont="1" applyFill="1" applyBorder="1" applyAlignment="1">
      <alignment horizontal="left"/>
    </xf>
    <xf numFmtId="0" fontId="48" fillId="2" borderId="2" xfId="0" applyFont="1" applyFill="1" applyBorder="1" applyAlignment="1">
      <alignment horizontal="center"/>
    </xf>
    <xf numFmtId="0" fontId="48" fillId="2" borderId="3" xfId="0" applyFont="1" applyFill="1" applyBorder="1" applyAlignment="1">
      <alignment horizontal="center"/>
    </xf>
    <xf numFmtId="14" fontId="48" fillId="2" borderId="7" xfId="0" applyNumberFormat="1" applyFont="1" applyFill="1" applyBorder="1" applyAlignment="1">
      <alignment horizontal="center"/>
    </xf>
    <xf numFmtId="14" fontId="48" fillId="2" borderId="8" xfId="0" applyNumberFormat="1" applyFont="1" applyFill="1" applyBorder="1" applyAlignment="1">
      <alignment horizontal="center"/>
    </xf>
    <xf numFmtId="0" fontId="0" fillId="2" borderId="12" xfId="0" applyFill="1" applyBorder="1" applyAlignment="1">
      <alignment horizontal="center" vertical="top" wrapText="1"/>
    </xf>
    <xf numFmtId="0" fontId="0" fillId="2" borderId="18" xfId="0" applyFill="1" applyBorder="1" applyAlignment="1">
      <alignment horizontal="center" vertical="top" wrapText="1"/>
    </xf>
    <xf numFmtId="0" fontId="0" fillId="2" borderId="13" xfId="0" applyFill="1" applyBorder="1" applyAlignment="1">
      <alignment horizontal="center" vertical="top" wrapText="1"/>
    </xf>
    <xf numFmtId="0" fontId="0" fillId="2" borderId="12" xfId="0" applyFill="1" applyBorder="1" applyAlignment="1">
      <alignment horizontal="center" vertical="center"/>
    </xf>
    <xf numFmtId="0" fontId="0" fillId="2" borderId="18" xfId="0" applyFill="1" applyBorder="1" applyAlignment="1">
      <alignment horizontal="center" vertical="center"/>
    </xf>
    <xf numFmtId="0" fontId="0" fillId="2" borderId="13" xfId="0" applyFill="1" applyBorder="1" applyAlignment="1">
      <alignment horizontal="center" vertical="center"/>
    </xf>
    <xf numFmtId="0" fontId="60" fillId="2" borderId="1" xfId="0" applyFont="1" applyFill="1" applyBorder="1" applyAlignment="1" applyProtection="1">
      <alignment horizontal="center" vertical="center" wrapText="1"/>
      <protection hidden="1"/>
    </xf>
    <xf numFmtId="0" fontId="60" fillId="2" borderId="2" xfId="0" applyFont="1" applyFill="1" applyBorder="1" applyAlignment="1" applyProtection="1">
      <alignment horizontal="center" vertical="center" wrapText="1"/>
      <protection hidden="1"/>
    </xf>
    <xf numFmtId="165" fontId="44" fillId="0" borderId="20" xfId="0" applyNumberFormat="1" applyFont="1" applyBorder="1" applyAlignment="1" applyProtection="1">
      <alignment horizontal="center" vertical="center"/>
      <protection hidden="1"/>
    </xf>
    <xf numFmtId="164" fontId="59" fillId="29" borderId="9" xfId="0" applyNumberFormat="1" applyFont="1" applyFill="1" applyBorder="1" applyAlignment="1" applyProtection="1">
      <alignment horizontal="center"/>
      <protection hidden="1"/>
    </xf>
    <xf numFmtId="164" fontId="59" fillId="29" borderId="10" xfId="0" applyNumberFormat="1" applyFont="1" applyFill="1" applyBorder="1" applyAlignment="1" applyProtection="1">
      <alignment horizontal="center"/>
      <protection hidden="1"/>
    </xf>
    <xf numFmtId="164" fontId="59" fillId="29" borderId="11" xfId="0" applyNumberFormat="1" applyFont="1" applyFill="1" applyBorder="1" applyAlignment="1" applyProtection="1">
      <alignment horizontal="center"/>
      <protection hidden="1"/>
    </xf>
    <xf numFmtId="4" fontId="62" fillId="16" borderId="59" xfId="0" applyNumberFormat="1" applyFont="1" applyFill="1" applyBorder="1" applyAlignment="1" applyProtection="1">
      <alignment horizontal="left" vertical="top"/>
      <protection hidden="1"/>
    </xf>
    <xf numFmtId="4" fontId="62" fillId="16" borderId="61" xfId="0" applyNumberFormat="1" applyFont="1" applyFill="1" applyBorder="1" applyAlignment="1" applyProtection="1">
      <alignment horizontal="left" vertical="top"/>
      <protection hidden="1"/>
    </xf>
    <xf numFmtId="0" fontId="0" fillId="16" borderId="20" xfId="0" applyFill="1" applyBorder="1" applyAlignment="1" applyProtection="1">
      <alignment horizontal="center" vertical="center"/>
      <protection hidden="1"/>
    </xf>
    <xf numFmtId="0" fontId="0" fillId="16" borderId="21" xfId="0" applyFill="1" applyBorder="1" applyAlignment="1" applyProtection="1">
      <alignment horizontal="center" vertical="center"/>
      <protection hidden="1"/>
    </xf>
    <xf numFmtId="164" fontId="59" fillId="6" borderId="10" xfId="0" applyNumberFormat="1" applyFont="1" applyFill="1" applyBorder="1" applyAlignment="1" applyProtection="1">
      <alignment horizontal="center"/>
      <protection hidden="1"/>
    </xf>
    <xf numFmtId="0" fontId="86" fillId="6" borderId="20" xfId="0" applyFont="1" applyFill="1" applyBorder="1" applyAlignment="1" applyProtection="1">
      <alignment horizontal="center" vertical="center" wrapText="1"/>
      <protection hidden="1"/>
    </xf>
    <xf numFmtId="0" fontId="86" fillId="6" borderId="21" xfId="0" applyFont="1" applyFill="1" applyBorder="1" applyAlignment="1" applyProtection="1">
      <alignment horizontal="center" vertical="center" wrapText="1"/>
      <protection hidden="1"/>
    </xf>
    <xf numFmtId="0" fontId="0" fillId="30" borderId="0" xfId="0" applyFill="1" applyAlignment="1">
      <alignment horizontal="center"/>
    </xf>
    <xf numFmtId="165" fontId="103" fillId="16" borderId="24" xfId="0" applyNumberFormat="1" applyFont="1" applyFill="1" applyBorder="1" applyAlignment="1">
      <alignment horizontal="center"/>
    </xf>
    <xf numFmtId="165" fontId="103" fillId="16" borderId="75" xfId="0" applyNumberFormat="1" applyFont="1" applyFill="1" applyBorder="1" applyAlignment="1">
      <alignment horizontal="center"/>
    </xf>
    <xf numFmtId="165" fontId="103" fillId="16" borderId="88" xfId="0" applyNumberFormat="1" applyFont="1" applyFill="1" applyBorder="1" applyAlignment="1">
      <alignment horizontal="center"/>
    </xf>
    <xf numFmtId="44" fontId="103" fillId="16" borderId="24" xfId="0" applyNumberFormat="1" applyFont="1" applyFill="1" applyBorder="1" applyAlignment="1">
      <alignment horizontal="left"/>
    </xf>
    <xf numFmtId="44" fontId="103" fillId="16" borderId="75" xfId="0" applyNumberFormat="1" applyFont="1" applyFill="1" applyBorder="1" applyAlignment="1">
      <alignment horizontal="left"/>
    </xf>
    <xf numFmtId="44" fontId="103" fillId="16" borderId="88" xfId="0" applyNumberFormat="1" applyFont="1" applyFill="1" applyBorder="1" applyAlignment="1">
      <alignment horizontal="left"/>
    </xf>
    <xf numFmtId="185" fontId="103" fillId="16" borderId="118" xfId="0" applyNumberFormat="1" applyFont="1" applyFill="1" applyBorder="1" applyAlignment="1">
      <alignment horizontal="left"/>
    </xf>
    <xf numFmtId="185" fontId="103" fillId="16" borderId="119" xfId="0" applyNumberFormat="1" applyFont="1" applyFill="1" applyBorder="1" applyAlignment="1">
      <alignment horizontal="left"/>
    </xf>
    <xf numFmtId="185" fontId="103" fillId="16" borderId="120" xfId="0" applyNumberFormat="1" applyFont="1" applyFill="1" applyBorder="1" applyAlignment="1">
      <alignment horizontal="left"/>
    </xf>
    <xf numFmtId="0" fontId="46" fillId="6" borderId="0" xfId="0" applyFont="1" applyFill="1" applyAlignment="1" applyProtection="1">
      <alignment horizontal="center"/>
      <protection hidden="1"/>
    </xf>
    <xf numFmtId="0" fontId="61" fillId="0" borderId="2" xfId="0" applyFont="1" applyBorder="1" applyAlignment="1" applyProtection="1">
      <alignment wrapText="1"/>
      <protection hidden="1"/>
    </xf>
    <xf numFmtId="0" fontId="61" fillId="0" borderId="3" xfId="0" applyFont="1" applyBorder="1" applyAlignment="1" applyProtection="1">
      <alignment wrapText="1"/>
      <protection hidden="1"/>
    </xf>
    <xf numFmtId="0" fontId="0" fillId="0" borderId="0" xfId="0" applyProtection="1">
      <protection hidden="1"/>
    </xf>
    <xf numFmtId="0" fontId="0" fillId="0" borderId="5" xfId="0" applyBorder="1" applyProtection="1">
      <protection hidden="1"/>
    </xf>
    <xf numFmtId="0" fontId="70" fillId="5" borderId="9" xfId="1" applyFill="1" applyBorder="1" applyAlignment="1" applyProtection="1">
      <alignment horizontal="center" wrapText="1"/>
      <protection hidden="1"/>
    </xf>
    <xf numFmtId="0" fontId="70" fillId="0" borderId="10" xfId="1" applyBorder="1" applyAlignment="1" applyProtection="1">
      <protection hidden="1"/>
    </xf>
    <xf numFmtId="0" fontId="70" fillId="0" borderId="11" xfId="1" applyBorder="1" applyAlignment="1" applyProtection="1">
      <protection hidden="1"/>
    </xf>
    <xf numFmtId="0" fontId="61" fillId="2" borderId="4" xfId="0" applyFont="1" applyFill="1" applyBorder="1" applyAlignment="1" applyProtection="1">
      <alignment horizontal="center"/>
      <protection hidden="1"/>
    </xf>
    <xf numFmtId="0" fontId="61" fillId="2" borderId="0" xfId="0" applyFont="1" applyFill="1" applyAlignment="1" applyProtection="1">
      <alignment horizontal="center"/>
      <protection hidden="1"/>
    </xf>
    <xf numFmtId="0" fontId="68" fillId="2" borderId="4" xfId="0" applyFont="1" applyFill="1" applyBorder="1" applyAlignment="1" applyProtection="1">
      <alignment horizontal="center"/>
      <protection hidden="1"/>
    </xf>
    <xf numFmtId="0" fontId="68" fillId="2" borderId="0" xfId="0" applyFont="1" applyFill="1" applyAlignment="1" applyProtection="1">
      <alignment horizontal="center"/>
      <protection hidden="1"/>
    </xf>
    <xf numFmtId="0" fontId="52" fillId="0" borderId="0" xfId="0" applyFont="1" applyProtection="1">
      <protection hidden="1"/>
    </xf>
    <xf numFmtId="0" fontId="52" fillId="0" borderId="5" xfId="0" applyFont="1" applyBorder="1" applyProtection="1">
      <protection hidden="1"/>
    </xf>
    <xf numFmtId="0" fontId="68" fillId="0" borderId="2" xfId="0" applyFont="1" applyBorder="1" applyAlignment="1">
      <alignment horizontal="center"/>
    </xf>
    <xf numFmtId="0" fontId="68" fillId="0" borderId="7" xfId="0" applyFont="1" applyBorder="1" applyAlignment="1">
      <alignment horizontal="center"/>
    </xf>
    <xf numFmtId="0" fontId="57" fillId="9" borderId="7" xfId="0" applyFont="1" applyFill="1" applyBorder="1" applyProtection="1">
      <protection locked="0"/>
    </xf>
    <xf numFmtId="0" fontId="82" fillId="0" borderId="0" xfId="0" applyFont="1" applyAlignment="1">
      <alignment horizontal="center" wrapText="1"/>
    </xf>
    <xf numFmtId="0" fontId="68" fillId="0" borderId="0" xfId="0" applyFont="1" applyAlignment="1">
      <alignment horizontal="left" vertical="top"/>
    </xf>
    <xf numFmtId="0" fontId="68" fillId="0" borderId="0" xfId="0" applyFont="1" applyAlignment="1">
      <alignment horizontal="left"/>
    </xf>
    <xf numFmtId="0" fontId="0" fillId="9" borderId="0" xfId="0" applyFill="1" applyAlignment="1" applyProtection="1">
      <alignment horizontal="center" vertical="top" wrapText="1"/>
      <protection locked="0"/>
    </xf>
    <xf numFmtId="0" fontId="57" fillId="9" borderId="0" xfId="0" applyFont="1" applyFill="1" applyAlignment="1" applyProtection="1">
      <alignment horizontal="center" vertical="top" wrapText="1"/>
      <protection locked="0"/>
    </xf>
    <xf numFmtId="0" fontId="57" fillId="6" borderId="0" xfId="0" applyFont="1" applyFill="1" applyAlignment="1">
      <alignment horizontal="center"/>
    </xf>
    <xf numFmtId="0" fontId="90" fillId="2" borderId="1" xfId="0" applyFont="1" applyFill="1" applyBorder="1" applyAlignment="1">
      <alignment horizontal="center"/>
    </xf>
    <xf numFmtId="0" fontId="90" fillId="2" borderId="2" xfId="0" applyFont="1" applyFill="1" applyBorder="1" applyAlignment="1">
      <alignment horizontal="center"/>
    </xf>
    <xf numFmtId="0" fontId="91" fillId="0" borderId="3" xfId="0" applyFont="1" applyBorder="1" applyAlignment="1">
      <alignment horizontal="center"/>
    </xf>
    <xf numFmtId="0" fontId="91" fillId="2" borderId="4" xfId="0" applyFont="1" applyFill="1" applyBorder="1" applyAlignment="1">
      <alignment horizontal="center" vertical="center"/>
    </xf>
    <xf numFmtId="0" fontId="91" fillId="2" borderId="0" xfId="0" applyFont="1" applyFill="1" applyAlignment="1">
      <alignment horizontal="center" vertical="center"/>
    </xf>
    <xf numFmtId="0" fontId="91" fillId="0" borderId="5" xfId="0" applyFont="1" applyBorder="1" applyAlignment="1">
      <alignment horizontal="center" vertical="center"/>
    </xf>
    <xf numFmtId="0" fontId="90" fillId="2" borderId="4" xfId="0" applyFont="1" applyFill="1" applyBorder="1" applyAlignment="1">
      <alignment horizontal="center"/>
    </xf>
    <xf numFmtId="0" fontId="90" fillId="2" borderId="0" xfId="0" applyFont="1" applyFill="1" applyAlignment="1">
      <alignment horizontal="center"/>
    </xf>
    <xf numFmtId="0" fontId="91" fillId="0" borderId="5" xfId="0" applyFont="1" applyBorder="1" applyAlignment="1">
      <alignment horizontal="center"/>
    </xf>
    <xf numFmtId="0" fontId="81" fillId="0" borderId="0" xfId="0" applyFont="1" applyAlignment="1">
      <alignment horizontal="center"/>
    </xf>
    <xf numFmtId="0" fontId="81" fillId="0" borderId="30" xfId="0" applyFont="1" applyBorder="1" applyAlignment="1">
      <alignment horizontal="center"/>
    </xf>
    <xf numFmtId="0" fontId="81" fillId="0" borderId="31" xfId="0" applyFont="1" applyBorder="1" applyAlignment="1">
      <alignment horizontal="center"/>
    </xf>
    <xf numFmtId="0" fontId="59" fillId="2" borderId="1" xfId="0" applyFont="1" applyFill="1" applyBorder="1" applyAlignment="1" applyProtection="1">
      <alignment horizontal="center" vertical="center" wrapText="1"/>
      <protection hidden="1"/>
    </xf>
    <xf numFmtId="0" fontId="59" fillId="2" borderId="2" xfId="0" applyFont="1" applyFill="1" applyBorder="1" applyAlignment="1" applyProtection="1">
      <alignment horizontal="center" vertical="center" wrapText="1"/>
      <protection hidden="1"/>
    </xf>
    <xf numFmtId="0" fontId="59" fillId="2" borderId="4" xfId="0" applyFont="1" applyFill="1" applyBorder="1" applyAlignment="1" applyProtection="1">
      <alignment horizontal="center" vertical="center" wrapText="1"/>
      <protection hidden="1"/>
    </xf>
    <xf numFmtId="0" fontId="59" fillId="2" borderId="0" xfId="0" applyFont="1" applyFill="1" applyAlignment="1" applyProtection="1">
      <alignment horizontal="center" vertical="center" wrapText="1"/>
      <protection hidden="1"/>
    </xf>
    <xf numFmtId="0" fontId="48" fillId="7" borderId="0" xfId="0" applyFont="1" applyFill="1" applyAlignment="1" applyProtection="1">
      <alignment horizontal="left"/>
      <protection hidden="1"/>
    </xf>
    <xf numFmtId="0" fontId="60" fillId="6" borderId="0" xfId="0" applyFont="1" applyFill="1" applyAlignment="1" applyProtection="1">
      <alignment horizontal="left" vertical="top" wrapText="1"/>
      <protection hidden="1"/>
    </xf>
    <xf numFmtId="0" fontId="60" fillId="6" borderId="0" xfId="0" applyFont="1" applyFill="1" applyAlignment="1" applyProtection="1">
      <alignment horizontal="left" vertical="top"/>
      <protection hidden="1"/>
    </xf>
    <xf numFmtId="0" fontId="62" fillId="16" borderId="14" xfId="0" applyFont="1" applyFill="1" applyBorder="1" applyAlignment="1" applyProtection="1">
      <alignment horizontal="left"/>
      <protection hidden="1"/>
    </xf>
    <xf numFmtId="0" fontId="62" fillId="2" borderId="12" xfId="0" applyFont="1" applyFill="1" applyBorder="1" applyAlignment="1" applyProtection="1">
      <alignment horizontal="left" vertical="center"/>
      <protection hidden="1"/>
    </xf>
    <xf numFmtId="0" fontId="62" fillId="2" borderId="18" xfId="0" applyFont="1" applyFill="1" applyBorder="1" applyAlignment="1" applyProtection="1">
      <alignment horizontal="left" vertical="center"/>
      <protection hidden="1"/>
    </xf>
    <xf numFmtId="0" fontId="62" fillId="16" borderId="0" xfId="0" applyFont="1" applyFill="1" applyAlignment="1" applyProtection="1">
      <alignment horizontal="left"/>
      <protection hidden="1"/>
    </xf>
    <xf numFmtId="0" fontId="62" fillId="16" borderId="12" xfId="0" applyFont="1" applyFill="1" applyBorder="1" applyAlignment="1" applyProtection="1">
      <alignment horizontal="center"/>
      <protection hidden="1"/>
    </xf>
    <xf numFmtId="0" fontId="62" fillId="16" borderId="18" xfId="0" applyFont="1" applyFill="1" applyBorder="1" applyAlignment="1" applyProtection="1">
      <alignment horizontal="center"/>
      <protection hidden="1"/>
    </xf>
    <xf numFmtId="0" fontId="62" fillId="16" borderId="13" xfId="0" applyFont="1" applyFill="1" applyBorder="1" applyAlignment="1" applyProtection="1">
      <alignment horizontal="center"/>
      <protection hidden="1"/>
    </xf>
    <xf numFmtId="0" fontId="62" fillId="2" borderId="0" xfId="0" applyFont="1" applyFill="1" applyAlignment="1" applyProtection="1">
      <alignment horizontal="left"/>
      <protection hidden="1"/>
    </xf>
    <xf numFmtId="0" fontId="60" fillId="2" borderId="1" xfId="0" applyFont="1" applyFill="1" applyBorder="1" applyAlignment="1">
      <alignment wrapText="1"/>
    </xf>
    <xf numFmtId="0" fontId="60" fillId="2" borderId="2" xfId="0" applyFont="1" applyFill="1" applyBorder="1"/>
    <xf numFmtId="0" fontId="60" fillId="2" borderId="3" xfId="0" applyFont="1" applyFill="1" applyBorder="1"/>
    <xf numFmtId="0" fontId="60" fillId="2" borderId="4" xfId="0" applyFont="1" applyFill="1" applyBorder="1"/>
    <xf numFmtId="0" fontId="60" fillId="2" borderId="0" xfId="0" applyFont="1" applyFill="1"/>
    <xf numFmtId="0" fontId="60" fillId="2" borderId="5" xfId="0" applyFont="1" applyFill="1" applyBorder="1"/>
    <xf numFmtId="0" fontId="60" fillId="2" borderId="6" xfId="0" applyFont="1" applyFill="1" applyBorder="1"/>
    <xf numFmtId="0" fontId="60" fillId="2" borderId="7" xfId="0" applyFont="1" applyFill="1" applyBorder="1"/>
    <xf numFmtId="0" fontId="60" fillId="2" borderId="8" xfId="0" applyFont="1" applyFill="1" applyBorder="1"/>
    <xf numFmtId="0" fontId="57" fillId="6" borderId="4" xfId="0" applyFont="1" applyFill="1" applyBorder="1"/>
    <xf numFmtId="0" fontId="0" fillId="0" borderId="0" xfId="0"/>
    <xf numFmtId="0" fontId="86" fillId="6" borderId="21" xfId="0" applyFont="1" applyFill="1" applyBorder="1" applyAlignment="1">
      <alignment horizontal="left" vertical="top"/>
    </xf>
    <xf numFmtId="0" fontId="0" fillId="0" borderId="19" xfId="0" applyBorder="1" applyAlignment="1">
      <alignment horizontal="center"/>
    </xf>
    <xf numFmtId="0" fontId="62" fillId="8" borderId="9" xfId="0" applyFont="1" applyFill="1" applyBorder="1" applyAlignment="1">
      <alignment horizontal="center"/>
    </xf>
    <xf numFmtId="0" fontId="62" fillId="8" borderId="10" xfId="0" applyFont="1" applyFill="1" applyBorder="1" applyAlignment="1">
      <alignment horizontal="center"/>
    </xf>
    <xf numFmtId="0" fontId="62" fillId="8" borderId="63" xfId="0" applyFont="1" applyFill="1" applyBorder="1" applyAlignment="1">
      <alignment horizontal="center"/>
    </xf>
    <xf numFmtId="0" fontId="62" fillId="25" borderId="9" xfId="0" applyFont="1" applyFill="1" applyBorder="1" applyAlignment="1">
      <alignment horizontal="center"/>
    </xf>
    <xf numFmtId="0" fontId="62" fillId="25" borderId="10" xfId="0" applyFont="1" applyFill="1" applyBorder="1" applyAlignment="1">
      <alignment horizontal="center"/>
    </xf>
    <xf numFmtId="0" fontId="62" fillId="25" borderId="11" xfId="0" applyFont="1" applyFill="1" applyBorder="1" applyAlignment="1">
      <alignment horizontal="center"/>
    </xf>
  </cellXfs>
  <cellStyles count="19">
    <cellStyle name="40% - Akzent1 2" xfId="6" xr:uid="{00000000-0005-0000-0000-000000000000}"/>
    <cellStyle name="40% - Akzent3 2" xfId="7" xr:uid="{00000000-0005-0000-0000-000001000000}"/>
    <cellStyle name="Datum" xfId="8" xr:uid="{00000000-0005-0000-0000-000002000000}"/>
    <cellStyle name="Eingabe 2" xfId="4" xr:uid="{00000000-0005-0000-0000-000003000000}"/>
    <cellStyle name="Eingabe 2 2" xfId="9" xr:uid="{00000000-0005-0000-0000-000004000000}"/>
    <cellStyle name="Eingabe 3" xfId="10" xr:uid="{00000000-0005-0000-0000-000005000000}"/>
    <cellStyle name="Formelfeld" xfId="11" xr:uid="{00000000-0005-0000-0000-000006000000}"/>
    <cellStyle name="Formular" xfId="12" xr:uid="{00000000-0005-0000-0000-000007000000}"/>
    <cellStyle name="Komma 2" xfId="17" xr:uid="{00000000-0005-0000-0000-000008000000}"/>
    <cellStyle name="Link" xfId="1" builtinId="8"/>
    <cellStyle name="Prozent" xfId="3" builtinId="5"/>
    <cellStyle name="Prozent 2" xfId="5" xr:uid="{00000000-0005-0000-0000-00000B000000}"/>
    <cellStyle name="Standard" xfId="0" builtinId="0"/>
    <cellStyle name="Standard 2" xfId="13" xr:uid="{00000000-0005-0000-0000-00000D000000}"/>
    <cellStyle name="Standard 4" xfId="18" xr:uid="{00000000-0005-0000-0000-00000E000000}"/>
    <cellStyle name="Stunden" xfId="14" xr:uid="{00000000-0005-0000-0000-00000F000000}"/>
    <cellStyle name="Text" xfId="15" xr:uid="{00000000-0005-0000-0000-000010000000}"/>
    <cellStyle name="VZK" xfId="16" xr:uid="{00000000-0005-0000-0000-000011000000}"/>
    <cellStyle name="Währung" xfId="2" builtinId="4"/>
  </cellStyles>
  <dxfs count="78">
    <dxf>
      <fill>
        <patternFill>
          <bgColor theme="0"/>
        </patternFill>
      </fill>
    </dxf>
    <dxf>
      <font>
        <color theme="0"/>
      </font>
      <fill>
        <patternFill patternType="none">
          <bgColor auto="1"/>
        </patternFill>
      </fill>
      <border>
        <right/>
        <top/>
        <bottom/>
        <vertical/>
        <horizontal/>
      </border>
    </dxf>
    <dxf>
      <font>
        <color theme="0" tint="-0.14996795556505021"/>
      </font>
      <fill>
        <patternFill>
          <bgColor theme="0" tint="-0.14996795556505021"/>
        </patternFill>
      </fill>
    </dxf>
    <dxf>
      <font>
        <color theme="0"/>
      </font>
      <fill>
        <patternFill>
          <bgColor theme="0"/>
        </patternFill>
      </fill>
      <border>
        <left/>
        <right/>
        <top/>
        <bottom/>
        <vertical/>
        <horizontal/>
      </border>
    </dxf>
    <dxf>
      <font>
        <color theme="0" tint="-4.9989318521683403E-2"/>
      </font>
      <fill>
        <patternFill>
          <bgColor theme="0" tint="-0.24994659260841701"/>
        </patternFill>
      </fill>
    </dxf>
    <dxf>
      <font>
        <color theme="0" tint="-0.14996795556505021"/>
      </font>
      <fill>
        <patternFill>
          <bgColor theme="0" tint="-0.24994659260841701"/>
        </patternFill>
      </fill>
    </dxf>
    <dxf>
      <font>
        <color theme="0"/>
      </font>
      <fill>
        <patternFill>
          <bgColor theme="0"/>
        </patternFill>
      </fill>
      <border>
        <left/>
        <right/>
        <top style="thin">
          <color auto="1"/>
        </top>
        <bottom/>
        <vertical/>
        <horizontal/>
      </border>
    </dxf>
    <dxf>
      <font>
        <color theme="0" tint="-4.9989318521683403E-2"/>
      </font>
      <fill>
        <patternFill>
          <bgColor theme="0" tint="-0.14996795556505021"/>
        </patternFill>
      </fill>
    </dxf>
    <dxf>
      <font>
        <color theme="0"/>
      </font>
      <border>
        <left/>
        <right/>
        <top style="thin">
          <color auto="1"/>
        </top>
        <bottom/>
        <vertical/>
        <horizontal/>
      </border>
    </dxf>
    <dxf>
      <fill>
        <patternFill>
          <bgColor theme="0"/>
        </patternFill>
      </fill>
    </dxf>
    <dxf>
      <fill>
        <patternFill>
          <bgColor theme="0"/>
        </patternFill>
      </fill>
    </dxf>
    <dxf>
      <fill>
        <patternFill>
          <bgColor theme="0"/>
        </patternFill>
      </fill>
    </dxf>
    <dxf>
      <fill>
        <patternFill>
          <bgColor theme="0"/>
        </patternFill>
      </fill>
    </dxf>
    <dxf>
      <font>
        <color theme="0" tint="-4.9989318521683403E-2"/>
      </font>
    </dxf>
    <dxf>
      <font>
        <color theme="0" tint="-4.9989318521683403E-2"/>
      </font>
    </dxf>
    <dxf>
      <font>
        <color theme="0" tint="-4.9989318521683403E-2"/>
      </font>
    </dxf>
    <dxf>
      <font>
        <color theme="0" tint="-4.9989318521683403E-2"/>
      </font>
    </dxf>
    <dxf>
      <font>
        <color theme="0"/>
      </font>
    </dxf>
    <dxf>
      <font>
        <color theme="0"/>
      </font>
      <fill>
        <patternFill>
          <bgColor theme="0"/>
        </patternFill>
      </fill>
      <border>
        <left/>
        <right/>
        <top/>
        <bottom/>
        <vertical/>
        <horizontal/>
      </border>
    </dxf>
    <dxf>
      <font>
        <color theme="0" tint="-4.9989318521683403E-2"/>
      </font>
    </dxf>
    <dxf>
      <font>
        <color theme="0" tint="-4.9989318521683403E-2"/>
      </font>
    </dxf>
    <dxf>
      <font>
        <color theme="0" tint="-4.9989318521683403E-2"/>
      </font>
    </dxf>
    <dxf>
      <font>
        <b/>
        <i val="0"/>
        <color auto="1"/>
      </font>
      <fill>
        <patternFill>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b/>
        <i val="0"/>
        <color auto="1"/>
      </font>
      <fill>
        <patternFill>
          <fgColor auto="1"/>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bgColor theme="0"/>
        </patternFill>
      </fill>
      <border>
        <left/>
        <right/>
        <bottom/>
        <vertical/>
        <horizontal/>
      </border>
    </dxf>
    <dxf>
      <font>
        <color theme="0"/>
      </font>
      <fill>
        <patternFill>
          <fgColor theme="0"/>
          <bgColor theme="0"/>
        </patternFill>
      </fill>
      <border>
        <left/>
        <right/>
        <bottom/>
        <vertical/>
        <horizontal/>
      </border>
    </dxf>
    <dxf>
      <font>
        <color theme="0" tint="-4.9989318521683403E-2"/>
      </font>
      <fill>
        <patternFill>
          <bgColor theme="0" tint="-4.9989318521683403E-2"/>
        </patternFill>
      </fill>
    </dxf>
    <dxf>
      <fill>
        <patternFill>
          <bgColor theme="0"/>
        </patternFill>
      </fill>
    </dxf>
    <dxf>
      <font>
        <color theme="0"/>
      </font>
    </dxf>
    <dxf>
      <fill>
        <patternFill>
          <bgColor theme="0"/>
        </patternFill>
      </fill>
    </dxf>
    <dxf>
      <font>
        <color theme="0"/>
      </font>
    </dxf>
    <dxf>
      <fill>
        <patternFill>
          <bgColor theme="0"/>
        </patternFill>
      </fill>
    </dxf>
    <dxf>
      <font>
        <color theme="0"/>
      </font>
    </dxf>
    <dxf>
      <fill>
        <patternFill>
          <bgColor theme="0"/>
        </patternFill>
      </fill>
    </dxf>
    <dxf>
      <font>
        <color theme="0"/>
      </font>
      <fill>
        <patternFill>
          <bgColor theme="0"/>
        </patternFill>
      </fill>
      <border>
        <left/>
        <right/>
        <top/>
        <bottom/>
        <vertical/>
        <horizontal/>
      </border>
    </dxf>
    <dxf>
      <font>
        <color theme="0" tint="-0.14996795556505021"/>
      </font>
      <fill>
        <patternFill>
          <bgColor theme="0" tint="-0.24994659260841701"/>
        </patternFill>
      </fill>
      <border>
        <left/>
        <right/>
        <top/>
        <bottom/>
        <vertical/>
        <horizontal/>
      </border>
    </dxf>
    <dxf>
      <font>
        <color theme="0" tint="-0.14996795556505021"/>
      </font>
      <fill>
        <patternFill>
          <bgColor theme="0" tint="-0.24994659260841701"/>
        </patternFill>
      </fill>
      <border>
        <left/>
        <right/>
        <top/>
        <bottom/>
        <vertical/>
        <horizontal/>
      </border>
    </dxf>
    <dxf>
      <font>
        <color theme="0"/>
      </font>
    </dxf>
    <dxf>
      <font>
        <color theme="0"/>
      </font>
      <fill>
        <patternFill>
          <bgColor theme="0" tint="-0.24994659260841701"/>
        </patternFill>
      </fill>
    </dxf>
    <dxf>
      <font>
        <color theme="0"/>
      </font>
      <fill>
        <patternFill>
          <fgColor theme="0"/>
          <bgColor theme="0"/>
        </patternFill>
      </fill>
      <border>
        <left style="thin">
          <color auto="1"/>
        </left>
        <right/>
        <top/>
        <bottom/>
        <vertical/>
        <horizontal/>
      </border>
    </dxf>
    <dxf>
      <font>
        <color theme="0" tint="-4.9989318521683403E-2"/>
      </font>
      <fill>
        <patternFill>
          <bgColor theme="0" tint="-0.24994659260841701"/>
        </patternFill>
      </fill>
    </dxf>
    <dxf>
      <fill>
        <patternFill>
          <bgColor theme="0"/>
        </patternFill>
      </fill>
    </dxf>
    <dxf>
      <font>
        <color theme="0" tint="-0.14996795556505021"/>
      </font>
      <fill>
        <patternFill>
          <fgColor theme="0"/>
          <bgColor theme="0" tint="-0.24994659260841701"/>
        </patternFill>
      </fill>
      <border>
        <left/>
        <right/>
        <top/>
        <bottom/>
        <vertical/>
        <horizontal/>
      </border>
    </dxf>
    <dxf>
      <font>
        <color theme="6" tint="0.59996337778862885"/>
      </font>
      <fill>
        <patternFill>
          <bgColor theme="6" tint="0.59996337778862885"/>
        </patternFill>
      </fill>
    </dxf>
    <dxf>
      <font>
        <color theme="0"/>
      </font>
      <fill>
        <patternFill>
          <fgColor theme="0"/>
          <bgColor theme="0"/>
        </patternFill>
      </fill>
      <border>
        <left style="thin">
          <color auto="1"/>
        </left>
        <right/>
        <top/>
        <bottom/>
        <vertical/>
        <horizontal/>
      </border>
    </dxf>
    <dxf>
      <font>
        <color theme="0" tint="-0.14996795556505021"/>
      </font>
      <fill>
        <patternFill>
          <fgColor theme="0"/>
          <bgColor theme="0" tint="-0.24994659260841701"/>
        </patternFill>
      </fill>
      <border>
        <left/>
        <right/>
        <top/>
        <bottom/>
        <vertical/>
        <horizontal/>
      </border>
    </dxf>
    <dxf>
      <fill>
        <patternFill>
          <fgColor theme="0"/>
        </patternFill>
      </fill>
      <border>
        <left/>
        <right/>
        <top/>
        <bottom/>
        <vertical/>
        <horizontal/>
      </border>
    </dxf>
    <dxf>
      <font>
        <color theme="0" tint="-0.24994659260841701"/>
      </font>
      <fill>
        <patternFill>
          <bgColor theme="0" tint="-0.24994659260841701"/>
        </patternFill>
      </fill>
    </dxf>
    <dxf>
      <font>
        <color theme="0" tint="-0.24994659260841701"/>
      </font>
      <fill>
        <patternFill>
          <bgColor theme="0" tint="-0.24994659260841701"/>
        </patternFill>
      </fill>
    </dxf>
    <dxf>
      <font>
        <color theme="0"/>
      </font>
      <fill>
        <patternFill>
          <fgColor theme="0"/>
          <bgColor theme="0"/>
        </patternFill>
      </fill>
      <border>
        <left/>
        <right style="thin">
          <color auto="1"/>
        </right>
        <top/>
        <bottom/>
        <vertical/>
        <horizontal/>
      </border>
    </dxf>
    <dxf>
      <font>
        <color theme="0"/>
      </font>
      <fill>
        <patternFill>
          <fgColor theme="0"/>
          <bgColor theme="0"/>
        </patternFill>
      </fill>
      <border>
        <left/>
        <right/>
        <top/>
        <bottom/>
        <vertical/>
        <horizontal/>
      </border>
    </dxf>
    <dxf>
      <border>
        <left/>
        <right/>
        <top/>
        <bottom/>
        <vertical/>
        <horizontal/>
      </border>
    </dxf>
    <dxf>
      <font>
        <color theme="0" tint="-0.14996795556505021"/>
      </font>
      <fill>
        <patternFill>
          <fgColor theme="0"/>
          <bgColor theme="0" tint="-0.24994659260841701"/>
        </patternFill>
      </fill>
      <border>
        <left/>
        <right/>
        <top/>
        <bottom/>
        <vertical/>
        <horizontal/>
      </border>
    </dxf>
    <dxf>
      <font>
        <color theme="0" tint="-0.14996795556505021"/>
      </font>
      <fill>
        <patternFill>
          <bgColor theme="0" tint="-0.24994659260841701"/>
        </patternFill>
      </fill>
      <border>
        <left/>
        <right/>
        <top/>
        <bottom/>
        <vertical/>
        <horizontal/>
      </border>
    </dxf>
    <dxf>
      <font>
        <color theme="0"/>
      </font>
      <fill>
        <patternFill>
          <fgColor theme="0"/>
          <bgColor theme="0"/>
        </patternFill>
      </fill>
      <border>
        <left style="thin">
          <color auto="1"/>
        </left>
        <right/>
        <top/>
        <bottom/>
        <vertical/>
        <horizontal/>
      </border>
    </dxf>
    <dxf>
      <font>
        <color theme="0" tint="-0.14996795556505021"/>
      </font>
      <fill>
        <patternFill>
          <bgColor theme="0" tint="-0.24994659260841701"/>
        </patternFill>
      </fill>
      <border>
        <left/>
        <right/>
        <bottom/>
        <vertical/>
        <horizontal/>
      </border>
    </dxf>
    <dxf>
      <font>
        <color theme="0" tint="-0.14996795556505021"/>
      </font>
      <fill>
        <patternFill>
          <bgColor theme="0" tint="-0.24994659260841701"/>
        </patternFill>
      </fill>
      <border>
        <left style="thin">
          <color auto="1"/>
        </left>
        <right/>
        <top/>
        <bottom/>
        <vertical/>
        <horizontal/>
      </border>
    </dxf>
    <dxf>
      <font>
        <color theme="0" tint="-0.14996795556505021"/>
      </font>
      <fill>
        <patternFill>
          <bgColor theme="0" tint="-0.24994659260841701"/>
        </patternFill>
      </fill>
    </dxf>
    <dxf>
      <font>
        <color theme="0" tint="-0.24994659260841701"/>
      </font>
      <fill>
        <patternFill>
          <bgColor theme="0" tint="-0.34998626667073579"/>
        </patternFill>
      </fill>
      <border>
        <left/>
        <right/>
        <top/>
        <bottom/>
      </border>
    </dxf>
    <dxf>
      <font>
        <color theme="0" tint="-4.9989318521683403E-2"/>
      </font>
      <fill>
        <patternFill>
          <bgColor theme="0" tint="-0.14996795556505021"/>
        </patternFill>
      </fill>
    </dxf>
    <dxf>
      <font>
        <color theme="0" tint="-0.14996795556505021"/>
      </font>
      <fill>
        <patternFill>
          <bgColor theme="0" tint="-0.24994659260841701"/>
        </patternFill>
      </fill>
      <border>
        <top/>
        <bottom/>
        <vertical/>
        <horizontal/>
      </border>
    </dxf>
    <dxf>
      <font>
        <color theme="0"/>
      </font>
      <fill>
        <patternFill>
          <fgColor theme="0"/>
        </patternFill>
      </fill>
      <border>
        <vertical/>
        <horizontal/>
      </border>
    </dxf>
    <dxf>
      <font>
        <color theme="0"/>
      </font>
      <fill>
        <patternFill>
          <bgColor theme="0"/>
        </patternFill>
      </fill>
      <border>
        <left/>
        <right/>
        <bottom/>
      </border>
    </dxf>
    <dxf>
      <font>
        <color theme="0" tint="-0.14996795556505021"/>
      </font>
      <fill>
        <patternFill>
          <bgColor theme="0" tint="-0.14996795556505021"/>
        </patternFill>
      </fill>
      <border>
        <bottom/>
        <vertical/>
        <horizontal/>
      </border>
    </dxf>
    <dxf>
      <fill>
        <patternFill>
          <bgColor theme="0"/>
        </patternFill>
      </fill>
    </dxf>
  </dxfs>
  <tableStyles count="0" defaultTableStyle="TableStyleMedium2" defaultPivotStyle="PivotStyleLight16"/>
  <colors>
    <mruColors>
      <color rgb="FF99CCFF"/>
      <color rgb="FFCCECFF"/>
      <color rgb="FFFBF7A7"/>
      <color rgb="FFFBFD95"/>
      <color rgb="FFFFFFCC"/>
      <color rgb="FFFFF4CA"/>
      <color rgb="FFFF33CC"/>
      <color rgb="FFFFFF99"/>
      <color rgb="FFE7FBA7"/>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704850</xdr:colOff>
      <xdr:row>137</xdr:row>
      <xdr:rowOff>0</xdr:rowOff>
    </xdr:from>
    <xdr:to>
      <xdr:col>4</xdr:col>
      <xdr:colOff>2127250</xdr:colOff>
      <xdr:row>137</xdr:row>
      <xdr:rowOff>830782</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201150" y="41967150"/>
          <a:ext cx="1422400" cy="8307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152400</xdr:colOff>
      <xdr:row>31</xdr:row>
      <xdr:rowOff>19050</xdr:rowOff>
    </xdr:from>
    <xdr:to>
      <xdr:col>8</xdr:col>
      <xdr:colOff>323850</xdr:colOff>
      <xdr:row>31</xdr:row>
      <xdr:rowOff>64769</xdr:rowOff>
    </xdr:to>
    <xdr:sp macro="" textlink="">
      <xdr:nvSpPr>
        <xdr:cNvPr id="2" name="Pfeil nach links 1">
          <a:extLst>
            <a:ext uri="{FF2B5EF4-FFF2-40B4-BE49-F238E27FC236}">
              <a16:creationId xmlns:a16="http://schemas.microsoft.com/office/drawing/2014/main" id="{00000000-0008-0000-0100-000002000000}"/>
            </a:ext>
          </a:extLst>
        </xdr:cNvPr>
        <xdr:cNvSpPr/>
      </xdr:nvSpPr>
      <xdr:spPr>
        <a:xfrm>
          <a:off x="13077825" y="10487025"/>
          <a:ext cx="171450" cy="45719"/>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DE" sz="1100"/>
        </a:p>
      </xdr:txBody>
    </xdr:sp>
    <xdr:clientData/>
  </xdr:twoCellAnchor>
  <xdr:twoCellAnchor>
    <xdr:from>
      <xdr:col>8</xdr:col>
      <xdr:colOff>161925</xdr:colOff>
      <xdr:row>32</xdr:row>
      <xdr:rowOff>19050</xdr:rowOff>
    </xdr:from>
    <xdr:to>
      <xdr:col>8</xdr:col>
      <xdr:colOff>333375</xdr:colOff>
      <xdr:row>32</xdr:row>
      <xdr:rowOff>64769</xdr:rowOff>
    </xdr:to>
    <xdr:sp macro="" textlink="">
      <xdr:nvSpPr>
        <xdr:cNvPr id="3" name="Pfeil nach links 2">
          <a:extLst>
            <a:ext uri="{FF2B5EF4-FFF2-40B4-BE49-F238E27FC236}">
              <a16:creationId xmlns:a16="http://schemas.microsoft.com/office/drawing/2014/main" id="{00000000-0008-0000-0100-000003000000}"/>
            </a:ext>
          </a:extLst>
        </xdr:cNvPr>
        <xdr:cNvSpPr/>
      </xdr:nvSpPr>
      <xdr:spPr>
        <a:xfrm>
          <a:off x="13087350" y="10648950"/>
          <a:ext cx="171450" cy="45719"/>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DE" sz="1100"/>
        </a:p>
      </xdr:txBody>
    </xdr:sp>
    <xdr:clientData/>
  </xdr:twoCellAnchor>
  <xdr:twoCellAnchor>
    <xdr:from>
      <xdr:col>8</xdr:col>
      <xdr:colOff>152400</xdr:colOff>
      <xdr:row>33</xdr:row>
      <xdr:rowOff>28575</xdr:rowOff>
    </xdr:from>
    <xdr:to>
      <xdr:col>8</xdr:col>
      <xdr:colOff>323850</xdr:colOff>
      <xdr:row>33</xdr:row>
      <xdr:rowOff>74294</xdr:rowOff>
    </xdr:to>
    <xdr:sp macro="" textlink="">
      <xdr:nvSpPr>
        <xdr:cNvPr id="4" name="Pfeil nach links 3">
          <a:extLst>
            <a:ext uri="{FF2B5EF4-FFF2-40B4-BE49-F238E27FC236}">
              <a16:creationId xmlns:a16="http://schemas.microsoft.com/office/drawing/2014/main" id="{00000000-0008-0000-0100-000004000000}"/>
            </a:ext>
          </a:extLst>
        </xdr:cNvPr>
        <xdr:cNvSpPr/>
      </xdr:nvSpPr>
      <xdr:spPr>
        <a:xfrm>
          <a:off x="13077825" y="10820400"/>
          <a:ext cx="171450" cy="45719"/>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DE" sz="1100"/>
        </a:p>
      </xdr:txBody>
    </xdr:sp>
    <xdr:clientData/>
  </xdr:twoCellAnchor>
  <xdr:twoCellAnchor>
    <xdr:from>
      <xdr:col>8</xdr:col>
      <xdr:colOff>171450</xdr:colOff>
      <xdr:row>34</xdr:row>
      <xdr:rowOff>19050</xdr:rowOff>
    </xdr:from>
    <xdr:to>
      <xdr:col>8</xdr:col>
      <xdr:colOff>342900</xdr:colOff>
      <xdr:row>34</xdr:row>
      <xdr:rowOff>64769</xdr:rowOff>
    </xdr:to>
    <xdr:sp macro="" textlink="">
      <xdr:nvSpPr>
        <xdr:cNvPr id="5" name="Pfeil nach links 4">
          <a:extLst>
            <a:ext uri="{FF2B5EF4-FFF2-40B4-BE49-F238E27FC236}">
              <a16:creationId xmlns:a16="http://schemas.microsoft.com/office/drawing/2014/main" id="{00000000-0008-0000-0100-000005000000}"/>
            </a:ext>
          </a:extLst>
        </xdr:cNvPr>
        <xdr:cNvSpPr/>
      </xdr:nvSpPr>
      <xdr:spPr>
        <a:xfrm>
          <a:off x="13096875" y="10972800"/>
          <a:ext cx="171450" cy="45719"/>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304799</xdr:colOff>
      <xdr:row>4</xdr:row>
      <xdr:rowOff>0</xdr:rowOff>
    </xdr:from>
    <xdr:to>
      <xdr:col>6</xdr:col>
      <xdr:colOff>1028699</xdr:colOff>
      <xdr:row>35</xdr:row>
      <xdr:rowOff>128877</xdr:rowOff>
    </xdr:to>
    <xdr:pic>
      <xdr:nvPicPr>
        <xdr:cNvPr id="2" name="Grafik 1">
          <a:extLst>
            <a:ext uri="{FF2B5EF4-FFF2-40B4-BE49-F238E27FC236}">
              <a16:creationId xmlns:a16="http://schemas.microsoft.com/office/drawing/2014/main" id="{F2DA55D2-55F3-A073-5F2F-C442A446FF4D}"/>
            </a:ext>
          </a:extLst>
        </xdr:cNvPr>
        <xdr:cNvPicPr>
          <a:picLocks noChangeAspect="1"/>
        </xdr:cNvPicPr>
      </xdr:nvPicPr>
      <xdr:blipFill>
        <a:blip xmlns:r="http://schemas.openxmlformats.org/officeDocument/2006/relationships" r:embed="rId1"/>
        <a:stretch>
          <a:fillRect/>
        </a:stretch>
      </xdr:blipFill>
      <xdr:spPr>
        <a:xfrm>
          <a:off x="304799" y="885825"/>
          <a:ext cx="5876925" cy="8320377"/>
        </a:xfrm>
        <a:prstGeom prst="rect">
          <a:avLst/>
        </a:prstGeom>
      </xdr:spPr>
    </xdr:pic>
    <xdr:clientData/>
  </xdr:twoCellAnchor>
  <xdr:twoCellAnchor editAs="oneCell">
    <xdr:from>
      <xdr:col>1</xdr:col>
      <xdr:colOff>1</xdr:colOff>
      <xdr:row>41</xdr:row>
      <xdr:rowOff>0</xdr:rowOff>
    </xdr:from>
    <xdr:to>
      <xdr:col>6</xdr:col>
      <xdr:colOff>1024681</xdr:colOff>
      <xdr:row>86</xdr:row>
      <xdr:rowOff>133350</xdr:rowOff>
    </xdr:to>
    <xdr:pic>
      <xdr:nvPicPr>
        <xdr:cNvPr id="5" name="Grafik 4">
          <a:extLst>
            <a:ext uri="{FF2B5EF4-FFF2-40B4-BE49-F238E27FC236}">
              <a16:creationId xmlns:a16="http://schemas.microsoft.com/office/drawing/2014/main" id="{0B16FFF7-1BAD-C405-8D82-B7D85714ECF1}"/>
            </a:ext>
          </a:extLst>
        </xdr:cNvPr>
        <xdr:cNvPicPr>
          <a:picLocks noChangeAspect="1"/>
        </xdr:cNvPicPr>
      </xdr:nvPicPr>
      <xdr:blipFill>
        <a:blip xmlns:r="http://schemas.openxmlformats.org/officeDocument/2006/relationships" r:embed="rId2"/>
        <a:stretch>
          <a:fillRect/>
        </a:stretch>
      </xdr:blipFill>
      <xdr:spPr>
        <a:xfrm>
          <a:off x="295276" y="10429875"/>
          <a:ext cx="5749080" cy="8277225"/>
        </a:xfrm>
        <a:prstGeom prst="rect">
          <a:avLst/>
        </a:prstGeom>
      </xdr:spPr>
    </xdr:pic>
    <xdr:clientData/>
  </xdr:twoCellAnchor>
  <xdr:twoCellAnchor editAs="oneCell">
    <xdr:from>
      <xdr:col>1</xdr:col>
      <xdr:colOff>0</xdr:colOff>
      <xdr:row>92</xdr:row>
      <xdr:rowOff>0</xdr:rowOff>
    </xdr:from>
    <xdr:to>
      <xdr:col>6</xdr:col>
      <xdr:colOff>1027297</xdr:colOff>
      <xdr:row>137</xdr:row>
      <xdr:rowOff>123825</xdr:rowOff>
    </xdr:to>
    <xdr:pic>
      <xdr:nvPicPr>
        <xdr:cNvPr id="7" name="Grafik 6">
          <a:extLst>
            <a:ext uri="{FF2B5EF4-FFF2-40B4-BE49-F238E27FC236}">
              <a16:creationId xmlns:a16="http://schemas.microsoft.com/office/drawing/2014/main" id="{2C0ADF5D-1C41-1EB7-BD88-19195CFED942}"/>
            </a:ext>
          </a:extLst>
        </xdr:cNvPr>
        <xdr:cNvPicPr>
          <a:picLocks noChangeAspect="1"/>
        </xdr:cNvPicPr>
      </xdr:nvPicPr>
      <xdr:blipFill>
        <a:blip xmlns:r="http://schemas.openxmlformats.org/officeDocument/2006/relationships" r:embed="rId3"/>
        <a:stretch>
          <a:fillRect/>
        </a:stretch>
      </xdr:blipFill>
      <xdr:spPr>
        <a:xfrm>
          <a:off x="295275" y="19926300"/>
          <a:ext cx="5751697" cy="8267700"/>
        </a:xfrm>
        <a:prstGeom prst="rect">
          <a:avLst/>
        </a:prstGeom>
      </xdr:spPr>
    </xdr:pic>
    <xdr:clientData/>
  </xdr:twoCellAnchor>
  <xdr:twoCellAnchor editAs="oneCell">
    <xdr:from>
      <xdr:col>0</xdr:col>
      <xdr:colOff>304799</xdr:colOff>
      <xdr:row>142</xdr:row>
      <xdr:rowOff>180973</xdr:rowOff>
    </xdr:from>
    <xdr:to>
      <xdr:col>7</xdr:col>
      <xdr:colOff>629</xdr:colOff>
      <xdr:row>188</xdr:row>
      <xdr:rowOff>142874</xdr:rowOff>
    </xdr:to>
    <xdr:pic>
      <xdr:nvPicPr>
        <xdr:cNvPr id="10" name="Grafik 9">
          <a:extLst>
            <a:ext uri="{FF2B5EF4-FFF2-40B4-BE49-F238E27FC236}">
              <a16:creationId xmlns:a16="http://schemas.microsoft.com/office/drawing/2014/main" id="{791D0E13-7ED3-46F4-9BAB-131DA0C4EDCF}"/>
            </a:ext>
          </a:extLst>
        </xdr:cNvPr>
        <xdr:cNvPicPr>
          <a:picLocks noChangeAspect="1"/>
        </xdr:cNvPicPr>
      </xdr:nvPicPr>
      <xdr:blipFill>
        <a:blip xmlns:r="http://schemas.openxmlformats.org/officeDocument/2006/relationships" r:embed="rId4"/>
        <a:stretch>
          <a:fillRect/>
        </a:stretch>
      </xdr:blipFill>
      <xdr:spPr>
        <a:xfrm>
          <a:off x="304799" y="29422723"/>
          <a:ext cx="5868030" cy="8286751"/>
        </a:xfrm>
        <a:prstGeom prst="rect">
          <a:avLst/>
        </a:prstGeom>
      </xdr:spPr>
    </xdr:pic>
    <xdr:clientData/>
  </xdr:twoCellAnchor>
  <xdr:twoCellAnchor editAs="oneCell">
    <xdr:from>
      <xdr:col>1</xdr:col>
      <xdr:colOff>0</xdr:colOff>
      <xdr:row>194</xdr:row>
      <xdr:rowOff>0</xdr:rowOff>
    </xdr:from>
    <xdr:to>
      <xdr:col>7</xdr:col>
      <xdr:colOff>4387</xdr:colOff>
      <xdr:row>239</xdr:row>
      <xdr:rowOff>133350</xdr:rowOff>
    </xdr:to>
    <xdr:pic>
      <xdr:nvPicPr>
        <xdr:cNvPr id="13" name="Grafik 12">
          <a:extLst>
            <a:ext uri="{FF2B5EF4-FFF2-40B4-BE49-F238E27FC236}">
              <a16:creationId xmlns:a16="http://schemas.microsoft.com/office/drawing/2014/main" id="{EA02FF8E-7613-BC0F-C424-37CF119E1AA9}"/>
            </a:ext>
          </a:extLst>
        </xdr:cNvPr>
        <xdr:cNvPicPr>
          <a:picLocks noChangeAspect="1"/>
        </xdr:cNvPicPr>
      </xdr:nvPicPr>
      <xdr:blipFill>
        <a:blip xmlns:r="http://schemas.openxmlformats.org/officeDocument/2006/relationships" r:embed="rId5"/>
        <a:stretch>
          <a:fillRect/>
        </a:stretch>
      </xdr:blipFill>
      <xdr:spPr>
        <a:xfrm>
          <a:off x="295275" y="38919150"/>
          <a:ext cx="5757487" cy="8277225"/>
        </a:xfrm>
        <a:prstGeom prst="rect">
          <a:avLst/>
        </a:prstGeom>
      </xdr:spPr>
    </xdr:pic>
    <xdr:clientData/>
  </xdr:twoCellAnchor>
  <xdr:twoCellAnchor editAs="oneCell">
    <xdr:from>
      <xdr:col>1</xdr:col>
      <xdr:colOff>0</xdr:colOff>
      <xdr:row>245</xdr:row>
      <xdr:rowOff>0</xdr:rowOff>
    </xdr:from>
    <xdr:to>
      <xdr:col>7</xdr:col>
      <xdr:colOff>0</xdr:colOff>
      <xdr:row>290</xdr:row>
      <xdr:rowOff>141987</xdr:rowOff>
    </xdr:to>
    <xdr:pic>
      <xdr:nvPicPr>
        <xdr:cNvPr id="14" name="Grafik 13">
          <a:extLst>
            <a:ext uri="{FF2B5EF4-FFF2-40B4-BE49-F238E27FC236}">
              <a16:creationId xmlns:a16="http://schemas.microsoft.com/office/drawing/2014/main" id="{5CC356DB-6D5C-AA05-54DE-679E7CE94FA1}"/>
            </a:ext>
          </a:extLst>
        </xdr:cNvPr>
        <xdr:cNvPicPr>
          <a:picLocks noChangeAspect="1"/>
        </xdr:cNvPicPr>
      </xdr:nvPicPr>
      <xdr:blipFill>
        <a:blip xmlns:r="http://schemas.openxmlformats.org/officeDocument/2006/relationships" r:embed="rId6"/>
        <a:stretch>
          <a:fillRect/>
        </a:stretch>
      </xdr:blipFill>
      <xdr:spPr>
        <a:xfrm>
          <a:off x="304800" y="48415575"/>
          <a:ext cx="5867400" cy="8285862"/>
        </a:xfrm>
        <a:prstGeom prst="rect">
          <a:avLst/>
        </a:prstGeom>
      </xdr:spPr>
    </xdr:pic>
    <xdr:clientData/>
  </xdr:twoCellAnchor>
  <xdr:twoCellAnchor editAs="oneCell">
    <xdr:from>
      <xdr:col>0</xdr:col>
      <xdr:colOff>304799</xdr:colOff>
      <xdr:row>295</xdr:row>
      <xdr:rowOff>180974</xdr:rowOff>
    </xdr:from>
    <xdr:to>
      <xdr:col>6</xdr:col>
      <xdr:colOff>1027017</xdr:colOff>
      <xdr:row>341</xdr:row>
      <xdr:rowOff>114300</xdr:rowOff>
    </xdr:to>
    <xdr:pic>
      <xdr:nvPicPr>
        <xdr:cNvPr id="15" name="Grafik 14">
          <a:extLst>
            <a:ext uri="{FF2B5EF4-FFF2-40B4-BE49-F238E27FC236}">
              <a16:creationId xmlns:a16="http://schemas.microsoft.com/office/drawing/2014/main" id="{C4619B80-8EE5-AA9D-6099-AE407836AB2B}"/>
            </a:ext>
          </a:extLst>
        </xdr:cNvPr>
        <xdr:cNvPicPr>
          <a:picLocks noChangeAspect="1"/>
        </xdr:cNvPicPr>
      </xdr:nvPicPr>
      <xdr:blipFill>
        <a:blip xmlns:r="http://schemas.openxmlformats.org/officeDocument/2006/relationships" r:embed="rId7"/>
        <a:stretch>
          <a:fillRect/>
        </a:stretch>
      </xdr:blipFill>
      <xdr:spPr>
        <a:xfrm>
          <a:off x="304799" y="57911999"/>
          <a:ext cx="5865718" cy="8258176"/>
        </a:xfrm>
        <a:prstGeom prst="rect">
          <a:avLst/>
        </a:prstGeom>
      </xdr:spPr>
    </xdr:pic>
    <xdr:clientData/>
  </xdr:twoCellAnchor>
  <xdr:twoCellAnchor>
    <xdr:from>
      <xdr:col>3</xdr:col>
      <xdr:colOff>361950</xdr:colOff>
      <xdr:row>33</xdr:row>
      <xdr:rowOff>114300</xdr:rowOff>
    </xdr:from>
    <xdr:to>
      <xdr:col>4</xdr:col>
      <xdr:colOff>104775</xdr:colOff>
      <xdr:row>35</xdr:row>
      <xdr:rowOff>9525</xdr:rowOff>
    </xdr:to>
    <xdr:sp macro="" textlink="">
      <xdr:nvSpPr>
        <xdr:cNvPr id="3" name="Textfeld 2">
          <a:extLst>
            <a:ext uri="{FF2B5EF4-FFF2-40B4-BE49-F238E27FC236}">
              <a16:creationId xmlns:a16="http://schemas.microsoft.com/office/drawing/2014/main" id="{4D49D538-021E-6E60-D5D4-6143590C88B7}"/>
            </a:ext>
          </a:extLst>
        </xdr:cNvPr>
        <xdr:cNvSpPr txBox="1"/>
      </xdr:nvSpPr>
      <xdr:spPr>
        <a:xfrm>
          <a:off x="2867025" y="8829675"/>
          <a:ext cx="581025"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3</xdr:col>
      <xdr:colOff>323851</xdr:colOff>
      <xdr:row>84</xdr:row>
      <xdr:rowOff>28575</xdr:rowOff>
    </xdr:from>
    <xdr:to>
      <xdr:col>4</xdr:col>
      <xdr:colOff>66676</xdr:colOff>
      <xdr:row>85</xdr:row>
      <xdr:rowOff>104775</xdr:rowOff>
    </xdr:to>
    <xdr:sp macro="" textlink="">
      <xdr:nvSpPr>
        <xdr:cNvPr id="6" name="Textfeld 5">
          <a:extLst>
            <a:ext uri="{FF2B5EF4-FFF2-40B4-BE49-F238E27FC236}">
              <a16:creationId xmlns:a16="http://schemas.microsoft.com/office/drawing/2014/main" id="{BB41D58E-B62C-4389-82C7-7531B5D10090}"/>
            </a:ext>
          </a:extLst>
        </xdr:cNvPr>
        <xdr:cNvSpPr txBox="1"/>
      </xdr:nvSpPr>
      <xdr:spPr>
        <a:xfrm>
          <a:off x="2828926" y="18240375"/>
          <a:ext cx="581025"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3</xdr:col>
      <xdr:colOff>390525</xdr:colOff>
      <xdr:row>135</xdr:row>
      <xdr:rowOff>47625</xdr:rowOff>
    </xdr:from>
    <xdr:to>
      <xdr:col>4</xdr:col>
      <xdr:colOff>133350</xdr:colOff>
      <xdr:row>136</xdr:row>
      <xdr:rowOff>123825</xdr:rowOff>
    </xdr:to>
    <xdr:sp macro="" textlink="">
      <xdr:nvSpPr>
        <xdr:cNvPr id="8" name="Textfeld 7">
          <a:extLst>
            <a:ext uri="{FF2B5EF4-FFF2-40B4-BE49-F238E27FC236}">
              <a16:creationId xmlns:a16="http://schemas.microsoft.com/office/drawing/2014/main" id="{EED0EEFC-AA72-4054-BA70-020D3C173934}"/>
            </a:ext>
          </a:extLst>
        </xdr:cNvPr>
        <xdr:cNvSpPr txBox="1"/>
      </xdr:nvSpPr>
      <xdr:spPr>
        <a:xfrm>
          <a:off x="2895600" y="27755850"/>
          <a:ext cx="581025"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3</xdr:col>
      <xdr:colOff>380999</xdr:colOff>
      <xdr:row>186</xdr:row>
      <xdr:rowOff>133348</xdr:rowOff>
    </xdr:from>
    <xdr:to>
      <xdr:col>4</xdr:col>
      <xdr:colOff>123824</xdr:colOff>
      <xdr:row>188</xdr:row>
      <xdr:rowOff>28573</xdr:rowOff>
    </xdr:to>
    <xdr:sp macro="" textlink="">
      <xdr:nvSpPr>
        <xdr:cNvPr id="9" name="Textfeld 8">
          <a:extLst>
            <a:ext uri="{FF2B5EF4-FFF2-40B4-BE49-F238E27FC236}">
              <a16:creationId xmlns:a16="http://schemas.microsoft.com/office/drawing/2014/main" id="{B9E9620A-AEC0-4218-8A40-E621585B179E}"/>
            </a:ext>
          </a:extLst>
        </xdr:cNvPr>
        <xdr:cNvSpPr txBox="1"/>
      </xdr:nvSpPr>
      <xdr:spPr>
        <a:xfrm>
          <a:off x="2886074" y="37337998"/>
          <a:ext cx="581025"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1</xdr:col>
      <xdr:colOff>9525</xdr:colOff>
      <xdr:row>194</xdr:row>
      <xdr:rowOff>0</xdr:rowOff>
    </xdr:from>
    <xdr:to>
      <xdr:col>1</xdr:col>
      <xdr:colOff>590550</xdr:colOff>
      <xdr:row>195</xdr:row>
      <xdr:rowOff>76200</xdr:rowOff>
    </xdr:to>
    <xdr:sp macro="" textlink="">
      <xdr:nvSpPr>
        <xdr:cNvPr id="11" name="Textfeld 10">
          <a:extLst>
            <a:ext uri="{FF2B5EF4-FFF2-40B4-BE49-F238E27FC236}">
              <a16:creationId xmlns:a16="http://schemas.microsoft.com/office/drawing/2014/main" id="{42A23197-28A4-4D55-8323-1395E2F0B0FF}"/>
            </a:ext>
          </a:extLst>
        </xdr:cNvPr>
        <xdr:cNvSpPr txBox="1"/>
      </xdr:nvSpPr>
      <xdr:spPr>
        <a:xfrm>
          <a:off x="304800" y="38919150"/>
          <a:ext cx="581025"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3</xdr:col>
      <xdr:colOff>314325</xdr:colOff>
      <xdr:row>237</xdr:row>
      <xdr:rowOff>133350</xdr:rowOff>
    </xdr:from>
    <xdr:to>
      <xdr:col>4</xdr:col>
      <xdr:colOff>57150</xdr:colOff>
      <xdr:row>239</xdr:row>
      <xdr:rowOff>28575</xdr:rowOff>
    </xdr:to>
    <xdr:sp macro="" textlink="">
      <xdr:nvSpPr>
        <xdr:cNvPr id="12" name="Textfeld 11">
          <a:extLst>
            <a:ext uri="{FF2B5EF4-FFF2-40B4-BE49-F238E27FC236}">
              <a16:creationId xmlns:a16="http://schemas.microsoft.com/office/drawing/2014/main" id="{227684AE-5BE5-4F40-9918-05271481974C}"/>
            </a:ext>
          </a:extLst>
        </xdr:cNvPr>
        <xdr:cNvSpPr txBox="1"/>
      </xdr:nvSpPr>
      <xdr:spPr>
        <a:xfrm>
          <a:off x="2819400" y="46834425"/>
          <a:ext cx="581025"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3</xdr:col>
      <xdr:colOff>361950</xdr:colOff>
      <xdr:row>288</xdr:row>
      <xdr:rowOff>57150</xdr:rowOff>
    </xdr:from>
    <xdr:to>
      <xdr:col>4</xdr:col>
      <xdr:colOff>104775</xdr:colOff>
      <xdr:row>289</xdr:row>
      <xdr:rowOff>133350</xdr:rowOff>
    </xdr:to>
    <xdr:sp macro="" textlink="">
      <xdr:nvSpPr>
        <xdr:cNvPr id="16" name="Textfeld 15">
          <a:extLst>
            <a:ext uri="{FF2B5EF4-FFF2-40B4-BE49-F238E27FC236}">
              <a16:creationId xmlns:a16="http://schemas.microsoft.com/office/drawing/2014/main" id="{26CDFB11-F5B6-4A80-8937-C76371158EBA}"/>
            </a:ext>
          </a:extLst>
        </xdr:cNvPr>
        <xdr:cNvSpPr txBox="1"/>
      </xdr:nvSpPr>
      <xdr:spPr>
        <a:xfrm>
          <a:off x="2867025" y="56254650"/>
          <a:ext cx="581025"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3</xdr:col>
      <xdr:colOff>276224</xdr:colOff>
      <xdr:row>339</xdr:row>
      <xdr:rowOff>76199</xdr:rowOff>
    </xdr:from>
    <xdr:to>
      <xdr:col>4</xdr:col>
      <xdr:colOff>19049</xdr:colOff>
      <xdr:row>340</xdr:row>
      <xdr:rowOff>152399</xdr:rowOff>
    </xdr:to>
    <xdr:sp macro="" textlink="">
      <xdr:nvSpPr>
        <xdr:cNvPr id="17" name="Textfeld 16">
          <a:extLst>
            <a:ext uri="{FF2B5EF4-FFF2-40B4-BE49-F238E27FC236}">
              <a16:creationId xmlns:a16="http://schemas.microsoft.com/office/drawing/2014/main" id="{FC574991-69F3-4B98-9397-443AA6A8F98C}"/>
            </a:ext>
          </a:extLst>
        </xdr:cNvPr>
        <xdr:cNvSpPr txBox="1"/>
      </xdr:nvSpPr>
      <xdr:spPr>
        <a:xfrm>
          <a:off x="2781299" y="65770124"/>
          <a:ext cx="581025"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828675</xdr:colOff>
          <xdr:row>41</xdr:row>
          <xdr:rowOff>38100</xdr:rowOff>
        </xdr:from>
        <xdr:to>
          <xdr:col>9</xdr:col>
          <xdr:colOff>66675</xdr:colOff>
          <xdr:row>44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48</xdr:row>
          <xdr:rowOff>133350</xdr:rowOff>
        </xdr:from>
        <xdr:to>
          <xdr:col>12</xdr:col>
          <xdr:colOff>485775</xdr:colOff>
          <xdr:row>50</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AOKPLUS">
  <a:themeElements>
    <a:clrScheme name="AOK PLUS">
      <a:dk1>
        <a:sysClr val="windowText" lastClr="000000"/>
      </a:dk1>
      <a:lt1>
        <a:sysClr val="window" lastClr="FFFFFF"/>
      </a:lt1>
      <a:dk2>
        <a:srgbClr val="029646"/>
      </a:dk2>
      <a:lt2>
        <a:srgbClr val="EEECE1"/>
      </a:lt2>
      <a:accent1>
        <a:srgbClr val="CFE8B5"/>
      </a:accent1>
      <a:accent2>
        <a:srgbClr val="FDCA00"/>
      </a:accent2>
      <a:accent3>
        <a:srgbClr val="66BA06"/>
      </a:accent3>
      <a:accent4>
        <a:srgbClr val="EC540B"/>
      </a:accent4>
      <a:accent5>
        <a:srgbClr val="A0C013"/>
      </a:accent5>
      <a:accent6>
        <a:srgbClr val="B0B0B0"/>
      </a:accent6>
      <a:hlink>
        <a:srgbClr val="0000FF"/>
      </a:hlink>
      <a:folHlink>
        <a:srgbClr val="800080"/>
      </a:folHlink>
    </a:clrScheme>
    <a:fontScheme name="Executi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Palatino Linotype"/>
        <a:ea typeface=""/>
        <a:cs typeface=""/>
        <a:font script="Jpan" typeface="HGS明朝E"/>
        <a:font script="Hang" typeface="맑은 고딕"/>
        <a:font script="Hans" typeface="宋体"/>
        <a:font script="Hant" typeface="新細明體"/>
        <a:font script="Arab" typeface="Times New Roman"/>
        <a:font script="Hebr" typeface="Times New Roman"/>
        <a:font script="Thai" typeface="Browall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mailto:pflegesatzverhandlungen_sachsen@plus.aok.de" TargetMode="External"/><Relationship Id="rId7" Type="http://schemas.openxmlformats.org/officeDocument/2006/relationships/hyperlink" Target="mailto:alexander.bretschneider@barmer.de" TargetMode="External"/><Relationship Id="rId2" Type="http://schemas.openxmlformats.org/officeDocument/2006/relationships/hyperlink" Target="mailto:vereinbarungen-pflege@ksv-sachsen.de" TargetMode="External"/><Relationship Id="rId1" Type="http://schemas.openxmlformats.org/officeDocument/2006/relationships/printerSettings" Target="../printerSettings/printerSettings7.bin"/><Relationship Id="rId6" Type="http://schemas.openxmlformats.org/officeDocument/2006/relationships/hyperlink" Target="mailto:andre.kaden@barmer.de" TargetMode="External"/><Relationship Id="rId5" Type="http://schemas.openxmlformats.org/officeDocument/2006/relationships/hyperlink" Target="mailto:peter.hoeher@barmer.de" TargetMode="External"/><Relationship Id="rId4" Type="http://schemas.openxmlformats.org/officeDocument/2006/relationships/hyperlink" Target="mailto:verguetung-pflege.sac@vdek.com" TargetMode="External"/></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E264"/>
  <sheetViews>
    <sheetView showGridLines="0" zoomScaleNormal="100" workbookViewId="0">
      <pane ySplit="5" topLeftCell="A6" activePane="bottomLeft" state="frozen"/>
      <selection pane="bottomLeft" activeCell="B6" sqref="B6"/>
    </sheetView>
  </sheetViews>
  <sheetFormatPr baseColWidth="10" defaultRowHeight="14.25" x14ac:dyDescent="0.2"/>
  <cols>
    <col min="1" max="1" width="10.625" style="834" customWidth="1"/>
    <col min="2" max="2" width="28.125" customWidth="1"/>
    <col min="3" max="3" width="30" customWidth="1"/>
    <col min="4" max="4" width="42.75" customWidth="1"/>
    <col min="5" max="5" width="31.25" style="925" customWidth="1"/>
  </cols>
  <sheetData>
    <row r="1" spans="1:5" x14ac:dyDescent="0.2">
      <c r="A1" s="820"/>
      <c r="B1" s="820"/>
      <c r="C1" s="820"/>
      <c r="D1" s="820"/>
      <c r="E1" s="820"/>
    </row>
    <row r="2" spans="1:5" ht="23.25" customHeight="1" x14ac:dyDescent="0.2">
      <c r="A2" s="1263" t="s">
        <v>516</v>
      </c>
      <c r="B2" s="1264"/>
      <c r="C2" s="1264"/>
      <c r="D2" s="1264"/>
      <c r="E2" s="1264"/>
    </row>
    <row r="3" spans="1:5" x14ac:dyDescent="0.2">
      <c r="A3" s="820"/>
      <c r="B3" s="820"/>
      <c r="C3" s="820"/>
      <c r="D3" s="820"/>
      <c r="E3" s="820"/>
    </row>
    <row r="5" spans="1:5" ht="25.5" x14ac:dyDescent="0.2">
      <c r="A5" s="821" t="s">
        <v>504</v>
      </c>
      <c r="B5" s="821" t="s">
        <v>505</v>
      </c>
      <c r="C5" s="821" t="s">
        <v>506</v>
      </c>
      <c r="D5" s="821" t="s">
        <v>507</v>
      </c>
      <c r="E5" s="821" t="s">
        <v>508</v>
      </c>
    </row>
    <row r="6" spans="1:5" ht="25.5" x14ac:dyDescent="0.2">
      <c r="A6" s="825">
        <v>44739</v>
      </c>
      <c r="B6" s="826" t="s">
        <v>520</v>
      </c>
      <c r="C6" s="826" t="s">
        <v>521</v>
      </c>
      <c r="D6" s="826" t="s">
        <v>522</v>
      </c>
      <c r="E6" s="826" t="s">
        <v>523</v>
      </c>
    </row>
    <row r="7" spans="1:5" s="823" customFormat="1" ht="38.25" x14ac:dyDescent="0.2">
      <c r="A7" s="832">
        <v>44790</v>
      </c>
      <c r="B7" s="822" t="s">
        <v>517</v>
      </c>
      <c r="C7" s="822" t="s">
        <v>519</v>
      </c>
      <c r="D7" s="822" t="s">
        <v>509</v>
      </c>
      <c r="E7" s="1265" t="s">
        <v>518</v>
      </c>
    </row>
    <row r="8" spans="1:5" s="823" customFormat="1" ht="12.75" x14ac:dyDescent="0.2">
      <c r="A8" s="833"/>
      <c r="B8" s="824"/>
      <c r="C8" s="824" t="s">
        <v>510</v>
      </c>
      <c r="D8" s="824" t="s">
        <v>511</v>
      </c>
      <c r="E8" s="1266"/>
    </row>
    <row r="9" spans="1:5" s="823" customFormat="1" ht="25.5" x14ac:dyDescent="0.2">
      <c r="A9" s="832">
        <v>44790</v>
      </c>
      <c r="B9" s="822" t="s">
        <v>517</v>
      </c>
      <c r="C9" s="822" t="s">
        <v>512</v>
      </c>
      <c r="D9" s="822" t="s">
        <v>513</v>
      </c>
      <c r="E9" s="1266"/>
    </row>
    <row r="10" spans="1:5" s="823" customFormat="1" ht="12.75" x14ac:dyDescent="0.2">
      <c r="A10" s="833"/>
      <c r="B10" s="824"/>
      <c r="C10" s="824" t="s">
        <v>514</v>
      </c>
      <c r="D10" s="824" t="s">
        <v>515</v>
      </c>
      <c r="E10" s="1267"/>
    </row>
    <row r="11" spans="1:5" s="823" customFormat="1" ht="25.5" x14ac:dyDescent="0.2">
      <c r="A11" s="921">
        <v>44900</v>
      </c>
      <c r="B11" s="858" t="s">
        <v>530</v>
      </c>
      <c r="C11" s="859" t="s">
        <v>531</v>
      </c>
      <c r="D11" s="859" t="s">
        <v>532</v>
      </c>
      <c r="E11" s="929" t="s">
        <v>533</v>
      </c>
    </row>
    <row r="12" spans="1:5" s="823" customFormat="1" ht="25.5" x14ac:dyDescent="0.2">
      <c r="A12" s="867"/>
      <c r="B12" s="860" t="s">
        <v>536</v>
      </c>
      <c r="C12" s="861" t="s">
        <v>534</v>
      </c>
      <c r="D12" s="860" t="s">
        <v>537</v>
      </c>
      <c r="E12" s="930" t="s">
        <v>535</v>
      </c>
    </row>
    <row r="13" spans="1:5" s="823" customFormat="1" ht="12.75" x14ac:dyDescent="0.2">
      <c r="A13" s="867"/>
      <c r="B13" s="860" t="s">
        <v>538</v>
      </c>
      <c r="C13" s="860" t="s">
        <v>539</v>
      </c>
      <c r="D13" s="901" t="s">
        <v>540</v>
      </c>
      <c r="E13" s="930"/>
    </row>
    <row r="14" spans="1:5" s="823" customFormat="1" ht="12.75" x14ac:dyDescent="0.2">
      <c r="A14" s="867"/>
      <c r="B14" s="860" t="s">
        <v>538</v>
      </c>
      <c r="C14" s="860" t="s">
        <v>541</v>
      </c>
      <c r="D14" s="860" t="s">
        <v>542</v>
      </c>
      <c r="E14" s="930"/>
    </row>
    <row r="15" spans="1:5" s="823" customFormat="1" ht="12.75" x14ac:dyDescent="0.2">
      <c r="A15" s="867"/>
      <c r="B15" s="860" t="s">
        <v>538</v>
      </c>
      <c r="C15" s="860" t="s">
        <v>543</v>
      </c>
      <c r="D15" s="860" t="s">
        <v>544</v>
      </c>
      <c r="E15" s="930"/>
    </row>
    <row r="16" spans="1:5" s="823" customFormat="1" ht="12.75" x14ac:dyDescent="0.2">
      <c r="A16" s="867"/>
      <c r="B16" s="860" t="s">
        <v>538</v>
      </c>
      <c r="C16" s="860" t="s">
        <v>545</v>
      </c>
      <c r="D16" s="860" t="s">
        <v>546</v>
      </c>
      <c r="E16" s="930"/>
    </row>
    <row r="17" spans="1:5" s="823" customFormat="1" ht="12.75" x14ac:dyDescent="0.2">
      <c r="A17" s="867"/>
      <c r="B17" s="860" t="s">
        <v>538</v>
      </c>
      <c r="C17" s="860" t="s">
        <v>547</v>
      </c>
      <c r="D17" s="860" t="s">
        <v>548</v>
      </c>
      <c r="E17" s="930"/>
    </row>
    <row r="18" spans="1:5" s="823" customFormat="1" ht="25.5" x14ac:dyDescent="0.2">
      <c r="A18" s="867"/>
      <c r="B18" s="860" t="s">
        <v>538</v>
      </c>
      <c r="C18" s="860" t="s">
        <v>549</v>
      </c>
      <c r="D18" s="860" t="s">
        <v>550</v>
      </c>
      <c r="E18" s="930"/>
    </row>
    <row r="19" spans="1:5" s="823" customFormat="1" ht="12.75" x14ac:dyDescent="0.2">
      <c r="A19" s="867"/>
      <c r="B19" s="860" t="s">
        <v>538</v>
      </c>
      <c r="C19" s="860" t="s">
        <v>555</v>
      </c>
      <c r="D19" s="860" t="s">
        <v>553</v>
      </c>
      <c r="E19" s="930" t="s">
        <v>554</v>
      </c>
    </row>
    <row r="20" spans="1:5" s="823" customFormat="1" ht="38.25" x14ac:dyDescent="0.2">
      <c r="A20" s="867"/>
      <c r="B20" s="860" t="s">
        <v>517</v>
      </c>
      <c r="C20" s="860" t="s">
        <v>551</v>
      </c>
      <c r="D20" s="860" t="s">
        <v>552</v>
      </c>
      <c r="E20" s="930"/>
    </row>
    <row r="21" spans="1:5" ht="38.25" x14ac:dyDescent="0.2">
      <c r="A21" s="868"/>
      <c r="B21" s="860" t="s">
        <v>517</v>
      </c>
      <c r="C21" s="862" t="s">
        <v>556</v>
      </c>
      <c r="D21" s="863" t="s">
        <v>557</v>
      </c>
      <c r="E21" s="931"/>
    </row>
    <row r="22" spans="1:5" s="823" customFormat="1" ht="25.5" x14ac:dyDescent="0.2">
      <c r="A22" s="867"/>
      <c r="B22" s="860" t="s">
        <v>561</v>
      </c>
      <c r="C22" s="860" t="s">
        <v>558</v>
      </c>
      <c r="D22" s="860" t="s">
        <v>559</v>
      </c>
      <c r="E22" s="930" t="s">
        <v>560</v>
      </c>
    </row>
    <row r="23" spans="1:5" s="823" customFormat="1" ht="18" customHeight="1" x14ac:dyDescent="0.2">
      <c r="A23" s="867"/>
      <c r="B23" s="860" t="s">
        <v>562</v>
      </c>
      <c r="C23" s="860" t="s">
        <v>563</v>
      </c>
      <c r="D23" s="860" t="s">
        <v>564</v>
      </c>
      <c r="E23" s="930"/>
    </row>
    <row r="24" spans="1:5" s="823" customFormat="1" ht="15" customHeight="1" x14ac:dyDescent="0.2">
      <c r="A24" s="867"/>
      <c r="B24" s="860" t="s">
        <v>562</v>
      </c>
      <c r="C24" s="860" t="s">
        <v>565</v>
      </c>
      <c r="D24" s="860" t="s">
        <v>566</v>
      </c>
      <c r="E24" s="930"/>
    </row>
    <row r="25" spans="1:5" s="823" customFormat="1" ht="18" customHeight="1" x14ac:dyDescent="0.2">
      <c r="A25" s="867"/>
      <c r="B25" s="860" t="s">
        <v>562</v>
      </c>
      <c r="C25" s="860" t="s">
        <v>575</v>
      </c>
      <c r="D25" s="860" t="s">
        <v>567</v>
      </c>
      <c r="E25" s="930"/>
    </row>
    <row r="26" spans="1:5" s="823" customFormat="1" ht="18" customHeight="1" x14ac:dyDescent="0.2">
      <c r="A26" s="867"/>
      <c r="B26" s="860" t="s">
        <v>562</v>
      </c>
      <c r="C26" s="860" t="s">
        <v>576</v>
      </c>
      <c r="D26" s="860" t="s">
        <v>568</v>
      </c>
      <c r="E26" s="930"/>
    </row>
    <row r="27" spans="1:5" s="823" customFormat="1" ht="18" customHeight="1" x14ac:dyDescent="0.2">
      <c r="A27" s="867"/>
      <c r="B27" s="860" t="s">
        <v>562</v>
      </c>
      <c r="C27" s="860" t="s">
        <v>577</v>
      </c>
      <c r="D27" s="860" t="s">
        <v>569</v>
      </c>
      <c r="E27" s="930"/>
    </row>
    <row r="28" spans="1:5" s="823" customFormat="1" ht="18" customHeight="1" x14ac:dyDescent="0.2">
      <c r="A28" s="867"/>
      <c r="B28" s="860" t="s">
        <v>562</v>
      </c>
      <c r="C28" s="860" t="s">
        <v>578</v>
      </c>
      <c r="D28" s="860" t="s">
        <v>570</v>
      </c>
      <c r="E28" s="930"/>
    </row>
    <row r="29" spans="1:5" s="823" customFormat="1" ht="18" customHeight="1" x14ac:dyDescent="0.2">
      <c r="A29" s="867"/>
      <c r="B29" s="860" t="s">
        <v>562</v>
      </c>
      <c r="C29" s="860" t="s">
        <v>579</v>
      </c>
      <c r="D29" s="860" t="s">
        <v>571</v>
      </c>
      <c r="E29" s="930"/>
    </row>
    <row r="30" spans="1:5" s="823" customFormat="1" ht="18" customHeight="1" x14ac:dyDescent="0.2">
      <c r="A30" s="867"/>
      <c r="B30" s="860" t="s">
        <v>562</v>
      </c>
      <c r="C30" s="860" t="s">
        <v>580</v>
      </c>
      <c r="D30" s="860" t="s">
        <v>572</v>
      </c>
      <c r="E30" s="930"/>
    </row>
    <row r="31" spans="1:5" s="823" customFormat="1" ht="18" customHeight="1" x14ac:dyDescent="0.2">
      <c r="A31" s="867"/>
      <c r="B31" s="860" t="s">
        <v>562</v>
      </c>
      <c r="C31" s="860" t="s">
        <v>581</v>
      </c>
      <c r="D31" s="860" t="s">
        <v>573</v>
      </c>
      <c r="E31" s="930"/>
    </row>
    <row r="32" spans="1:5" s="823" customFormat="1" ht="18" customHeight="1" x14ac:dyDescent="0.2">
      <c r="A32" s="867"/>
      <c r="B32" s="860" t="s">
        <v>562</v>
      </c>
      <c r="C32" s="860" t="s">
        <v>582</v>
      </c>
      <c r="D32" s="860" t="s">
        <v>574</v>
      </c>
      <c r="E32" s="930"/>
    </row>
    <row r="33" spans="1:5" x14ac:dyDescent="0.2">
      <c r="A33" s="867"/>
      <c r="B33" s="860" t="s">
        <v>562</v>
      </c>
      <c r="C33" s="864" t="s">
        <v>583</v>
      </c>
      <c r="D33" s="864" t="s">
        <v>584</v>
      </c>
      <c r="E33" s="931"/>
    </row>
    <row r="34" spans="1:5" s="823" customFormat="1" ht="18" customHeight="1" x14ac:dyDescent="0.2">
      <c r="A34" s="867"/>
      <c r="B34" s="860" t="s">
        <v>562</v>
      </c>
      <c r="C34" s="860" t="s">
        <v>585</v>
      </c>
      <c r="D34" s="860" t="s">
        <v>592</v>
      </c>
      <c r="E34" s="930"/>
    </row>
    <row r="35" spans="1:5" s="823" customFormat="1" ht="18" customHeight="1" x14ac:dyDescent="0.2">
      <c r="A35" s="867"/>
      <c r="B35" s="860" t="s">
        <v>562</v>
      </c>
      <c r="C35" s="860" t="s">
        <v>586</v>
      </c>
      <c r="D35" s="860" t="s">
        <v>593</v>
      </c>
      <c r="E35" s="930"/>
    </row>
    <row r="36" spans="1:5" s="823" customFormat="1" ht="18" customHeight="1" x14ac:dyDescent="0.2">
      <c r="A36" s="867"/>
      <c r="B36" s="860" t="s">
        <v>562</v>
      </c>
      <c r="C36" s="860" t="s">
        <v>587</v>
      </c>
      <c r="D36" s="860" t="s">
        <v>594</v>
      </c>
      <c r="E36" s="930"/>
    </row>
    <row r="37" spans="1:5" s="823" customFormat="1" ht="18" customHeight="1" x14ac:dyDescent="0.2">
      <c r="A37" s="867"/>
      <c r="B37" s="860" t="s">
        <v>562</v>
      </c>
      <c r="C37" s="860" t="s">
        <v>588</v>
      </c>
      <c r="D37" s="860" t="s">
        <v>595</v>
      </c>
      <c r="E37" s="930"/>
    </row>
    <row r="38" spans="1:5" s="823" customFormat="1" ht="18" customHeight="1" x14ac:dyDescent="0.2">
      <c r="A38" s="867"/>
      <c r="B38" s="860" t="s">
        <v>562</v>
      </c>
      <c r="C38" s="860" t="s">
        <v>589</v>
      </c>
      <c r="D38" s="860" t="s">
        <v>596</v>
      </c>
      <c r="E38" s="930"/>
    </row>
    <row r="39" spans="1:5" s="823" customFormat="1" ht="18" customHeight="1" x14ac:dyDescent="0.2">
      <c r="A39" s="867"/>
      <c r="B39" s="860" t="s">
        <v>562</v>
      </c>
      <c r="C39" s="860" t="s">
        <v>590</v>
      </c>
      <c r="D39" s="860" t="s">
        <v>597</v>
      </c>
      <c r="E39" s="930"/>
    </row>
    <row r="40" spans="1:5" s="823" customFormat="1" ht="18" customHeight="1" x14ac:dyDescent="0.2">
      <c r="A40" s="867"/>
      <c r="B40" s="860" t="s">
        <v>562</v>
      </c>
      <c r="C40" s="860" t="s">
        <v>591</v>
      </c>
      <c r="D40" s="860" t="s">
        <v>598</v>
      </c>
      <c r="E40" s="930"/>
    </row>
    <row r="41" spans="1:5" s="823" customFormat="1" ht="18" customHeight="1" x14ac:dyDescent="0.2">
      <c r="A41" s="867"/>
      <c r="B41" s="860" t="s">
        <v>562</v>
      </c>
      <c r="C41" s="860" t="s">
        <v>599</v>
      </c>
      <c r="D41" s="860" t="s">
        <v>600</v>
      </c>
      <c r="E41" s="930"/>
    </row>
    <row r="42" spans="1:5" s="823" customFormat="1" ht="18" customHeight="1" x14ac:dyDescent="0.2">
      <c r="A42" s="867"/>
      <c r="B42" s="860" t="s">
        <v>562</v>
      </c>
      <c r="C42" s="860" t="s">
        <v>601</v>
      </c>
      <c r="D42" s="860" t="s">
        <v>602</v>
      </c>
      <c r="E42" s="930"/>
    </row>
    <row r="43" spans="1:5" x14ac:dyDescent="0.2">
      <c r="A43" s="867"/>
      <c r="B43" s="860" t="s">
        <v>562</v>
      </c>
      <c r="C43" s="860" t="s">
        <v>603</v>
      </c>
      <c r="D43" s="860" t="s">
        <v>604</v>
      </c>
      <c r="E43" s="930"/>
    </row>
    <row r="44" spans="1:5" ht="38.25" x14ac:dyDescent="0.2">
      <c r="A44" s="867"/>
      <c r="B44" s="860" t="s">
        <v>562</v>
      </c>
      <c r="C44" s="860" t="s">
        <v>587</v>
      </c>
      <c r="D44" s="860" t="s">
        <v>605</v>
      </c>
      <c r="E44" s="930"/>
    </row>
    <row r="45" spans="1:5" ht="63.75" x14ac:dyDescent="0.2">
      <c r="A45" s="869"/>
      <c r="B45" s="865" t="s">
        <v>606</v>
      </c>
      <c r="C45" s="865" t="s">
        <v>607</v>
      </c>
      <c r="D45" s="866" t="s">
        <v>609</v>
      </c>
      <c r="E45" s="932" t="s">
        <v>608</v>
      </c>
    </row>
    <row r="46" spans="1:5" ht="51" x14ac:dyDescent="0.2">
      <c r="A46" s="1081">
        <v>44901</v>
      </c>
      <c r="B46" s="835" t="s">
        <v>610</v>
      </c>
      <c r="C46" s="835" t="s">
        <v>611</v>
      </c>
      <c r="D46" s="836" t="s">
        <v>612</v>
      </c>
      <c r="E46" s="933"/>
    </row>
    <row r="47" spans="1:5" x14ac:dyDescent="0.2">
      <c r="A47" s="899">
        <v>44904</v>
      </c>
      <c r="B47" s="837" t="s">
        <v>517</v>
      </c>
      <c r="C47" s="837" t="s">
        <v>614</v>
      </c>
      <c r="D47" s="842" t="s">
        <v>615</v>
      </c>
      <c r="E47" s="934"/>
    </row>
    <row r="48" spans="1:5" x14ac:dyDescent="0.2">
      <c r="A48" s="1082"/>
      <c r="B48" s="838" t="s">
        <v>517</v>
      </c>
      <c r="C48" s="839" t="s">
        <v>616</v>
      </c>
      <c r="D48" s="839" t="s">
        <v>617</v>
      </c>
      <c r="E48" s="935"/>
    </row>
    <row r="49" spans="1:5" x14ac:dyDescent="0.2">
      <c r="A49" s="870"/>
      <c r="B49" s="843" t="s">
        <v>520</v>
      </c>
      <c r="C49" s="840"/>
      <c r="D49" s="841" t="s">
        <v>613</v>
      </c>
      <c r="E49" s="936"/>
    </row>
    <row r="50" spans="1:5" x14ac:dyDescent="0.2">
      <c r="A50" s="895">
        <v>44907</v>
      </c>
      <c r="B50" s="844" t="s">
        <v>562</v>
      </c>
      <c r="C50" s="844" t="s">
        <v>618</v>
      </c>
      <c r="D50" s="844" t="s">
        <v>619</v>
      </c>
      <c r="E50" s="937"/>
    </row>
    <row r="51" spans="1:5" ht="25.5" x14ac:dyDescent="0.2">
      <c r="A51" s="898">
        <v>44910</v>
      </c>
      <c r="B51" s="845" t="s">
        <v>561</v>
      </c>
      <c r="C51" s="845" t="s">
        <v>620</v>
      </c>
      <c r="D51" s="845" t="s">
        <v>621</v>
      </c>
      <c r="E51" s="938"/>
    </row>
    <row r="52" spans="1:5" x14ac:dyDescent="0.2">
      <c r="A52" s="898">
        <v>44914</v>
      </c>
      <c r="B52" s="845" t="s">
        <v>562</v>
      </c>
      <c r="C52" s="846" t="s">
        <v>622</v>
      </c>
      <c r="D52" s="846" t="s">
        <v>623</v>
      </c>
      <c r="E52" s="938"/>
    </row>
    <row r="53" spans="1:5" x14ac:dyDescent="0.2">
      <c r="A53" s="899">
        <v>45056</v>
      </c>
      <c r="B53" s="871" t="s">
        <v>626</v>
      </c>
      <c r="C53" s="871" t="s">
        <v>627</v>
      </c>
      <c r="D53" s="872"/>
      <c r="E53" s="939"/>
    </row>
    <row r="54" spans="1:5" x14ac:dyDescent="0.2">
      <c r="A54" s="868"/>
      <c r="B54" s="873" t="s">
        <v>626</v>
      </c>
      <c r="C54" s="873" t="s">
        <v>628</v>
      </c>
      <c r="D54" s="873" t="s">
        <v>624</v>
      </c>
      <c r="E54" s="940"/>
    </row>
    <row r="55" spans="1:5" x14ac:dyDescent="0.2">
      <c r="A55" s="868"/>
      <c r="B55" s="873" t="s">
        <v>626</v>
      </c>
      <c r="C55" s="873" t="s">
        <v>629</v>
      </c>
      <c r="D55" s="873" t="s">
        <v>630</v>
      </c>
      <c r="E55" s="940"/>
    </row>
    <row r="56" spans="1:5" ht="25.5" x14ac:dyDescent="0.2">
      <c r="A56" s="868"/>
      <c r="B56" s="873" t="s">
        <v>562</v>
      </c>
      <c r="C56" s="873" t="s">
        <v>631</v>
      </c>
      <c r="D56" s="873" t="s">
        <v>632</v>
      </c>
      <c r="E56" s="940"/>
    </row>
    <row r="57" spans="1:5" ht="38.25" x14ac:dyDescent="0.2">
      <c r="A57" s="868"/>
      <c r="B57" s="873" t="s">
        <v>562</v>
      </c>
      <c r="C57" s="873" t="s">
        <v>633</v>
      </c>
      <c r="D57" s="873" t="s">
        <v>634</v>
      </c>
      <c r="E57" s="940"/>
    </row>
    <row r="58" spans="1:5" ht="25.5" x14ac:dyDescent="0.2">
      <c r="A58" s="868"/>
      <c r="B58" s="873" t="s">
        <v>562</v>
      </c>
      <c r="C58" s="873" t="s">
        <v>635</v>
      </c>
      <c r="D58" s="873" t="s">
        <v>636</v>
      </c>
      <c r="E58" s="940"/>
    </row>
    <row r="59" spans="1:5" ht="38.25" x14ac:dyDescent="0.2">
      <c r="A59" s="870"/>
      <c r="B59" s="874" t="s">
        <v>562</v>
      </c>
      <c r="C59" s="874" t="s">
        <v>637</v>
      </c>
      <c r="D59" s="874" t="s">
        <v>638</v>
      </c>
      <c r="E59" s="941"/>
    </row>
    <row r="60" spans="1:5" ht="38.25" x14ac:dyDescent="0.2">
      <c r="A60" s="895">
        <v>45061</v>
      </c>
      <c r="B60" s="852" t="s">
        <v>562</v>
      </c>
      <c r="C60" s="852" t="s">
        <v>639</v>
      </c>
      <c r="D60" s="852" t="s">
        <v>640</v>
      </c>
      <c r="E60" s="937"/>
    </row>
    <row r="61" spans="1:5" ht="25.5" x14ac:dyDescent="0.2">
      <c r="A61" s="896">
        <v>45062</v>
      </c>
      <c r="B61" s="875" t="s">
        <v>641</v>
      </c>
      <c r="C61" s="875" t="s">
        <v>628</v>
      </c>
      <c r="D61" s="876" t="s">
        <v>642</v>
      </c>
      <c r="E61" s="942" t="s">
        <v>643</v>
      </c>
    </row>
    <row r="62" spans="1:5" ht="25.5" x14ac:dyDescent="0.2">
      <c r="A62" s="897"/>
      <c r="B62" s="877" t="s">
        <v>641</v>
      </c>
      <c r="C62" s="877" t="s">
        <v>645</v>
      </c>
      <c r="D62" s="880" t="s">
        <v>646</v>
      </c>
      <c r="E62" s="943" t="s">
        <v>647</v>
      </c>
    </row>
    <row r="63" spans="1:5" ht="24" x14ac:dyDescent="0.2">
      <c r="A63" s="897"/>
      <c r="B63" s="877" t="s">
        <v>641</v>
      </c>
      <c r="C63" s="877" t="s">
        <v>649</v>
      </c>
      <c r="D63" s="880" t="s">
        <v>648</v>
      </c>
      <c r="E63" s="931"/>
    </row>
    <row r="64" spans="1:5" x14ac:dyDescent="0.2">
      <c r="A64" s="885"/>
      <c r="B64" s="877" t="s">
        <v>641</v>
      </c>
      <c r="C64" s="877" t="s">
        <v>663</v>
      </c>
      <c r="D64" s="878" t="s">
        <v>664</v>
      </c>
      <c r="E64" s="931"/>
    </row>
    <row r="65" spans="1:5" x14ac:dyDescent="0.2">
      <c r="A65" s="885"/>
      <c r="B65" s="877" t="s">
        <v>538</v>
      </c>
      <c r="C65" s="877" t="s">
        <v>539</v>
      </c>
      <c r="D65" s="878" t="s">
        <v>650</v>
      </c>
      <c r="E65" s="931"/>
    </row>
    <row r="66" spans="1:5" x14ac:dyDescent="0.2">
      <c r="A66" s="885"/>
      <c r="B66" s="877" t="s">
        <v>538</v>
      </c>
      <c r="C66" s="877" t="s">
        <v>651</v>
      </c>
      <c r="D66" s="878" t="s">
        <v>652</v>
      </c>
      <c r="E66" s="931"/>
    </row>
    <row r="67" spans="1:5" ht="76.5" x14ac:dyDescent="0.2">
      <c r="A67" s="885"/>
      <c r="B67" s="877" t="s">
        <v>538</v>
      </c>
      <c r="C67" s="877" t="s">
        <v>653</v>
      </c>
      <c r="D67" s="878" t="s">
        <v>655</v>
      </c>
      <c r="E67" s="943" t="s">
        <v>665</v>
      </c>
    </row>
    <row r="68" spans="1:5" x14ac:dyDescent="0.2">
      <c r="A68" s="885"/>
      <c r="B68" s="877" t="s">
        <v>538</v>
      </c>
      <c r="C68" s="877" t="s">
        <v>654</v>
      </c>
      <c r="D68" s="878" t="s">
        <v>656</v>
      </c>
      <c r="E68" s="931"/>
    </row>
    <row r="69" spans="1:5" x14ac:dyDescent="0.2">
      <c r="A69" s="885"/>
      <c r="B69" s="877" t="s">
        <v>538</v>
      </c>
      <c r="C69" s="877" t="s">
        <v>657</v>
      </c>
      <c r="D69" s="878" t="s">
        <v>658</v>
      </c>
      <c r="E69" s="931"/>
    </row>
    <row r="70" spans="1:5" ht="36" x14ac:dyDescent="0.2">
      <c r="A70" s="885"/>
      <c r="B70" s="879" t="s">
        <v>517</v>
      </c>
      <c r="C70" s="879" t="s">
        <v>556</v>
      </c>
      <c r="D70" s="880" t="s">
        <v>659</v>
      </c>
      <c r="E70" s="931"/>
    </row>
    <row r="71" spans="1:5" ht="25.5" x14ac:dyDescent="0.2">
      <c r="A71" s="885"/>
      <c r="B71" s="881" t="s">
        <v>562</v>
      </c>
      <c r="C71" s="877" t="s">
        <v>660</v>
      </c>
      <c r="D71" s="880" t="s">
        <v>661</v>
      </c>
      <c r="E71" s="942" t="s">
        <v>662</v>
      </c>
    </row>
    <row r="72" spans="1:5" ht="25.5" x14ac:dyDescent="0.2">
      <c r="A72" s="885"/>
      <c r="B72" s="881" t="s">
        <v>562</v>
      </c>
      <c r="C72" s="877" t="s">
        <v>660</v>
      </c>
      <c r="D72" s="880" t="s">
        <v>666</v>
      </c>
      <c r="E72" s="942" t="s">
        <v>662</v>
      </c>
    </row>
    <row r="73" spans="1:5" ht="25.5" x14ac:dyDescent="0.2">
      <c r="A73" s="886"/>
      <c r="B73" s="882" t="s">
        <v>562</v>
      </c>
      <c r="C73" s="883" t="s">
        <v>660</v>
      </c>
      <c r="D73" s="884" t="s">
        <v>667</v>
      </c>
      <c r="E73" s="942" t="s">
        <v>662</v>
      </c>
    </row>
    <row r="74" spans="1:5" ht="25.5" x14ac:dyDescent="0.2">
      <c r="A74" s="894">
        <v>45063</v>
      </c>
      <c r="B74" s="887" t="s">
        <v>641</v>
      </c>
      <c r="C74" s="887" t="s">
        <v>671</v>
      </c>
      <c r="D74" s="888" t="s">
        <v>668</v>
      </c>
      <c r="E74" s="944" t="s">
        <v>669</v>
      </c>
    </row>
    <row r="75" spans="1:5" ht="25.5" x14ac:dyDescent="0.2">
      <c r="A75" s="892"/>
      <c r="B75" s="889" t="s">
        <v>641</v>
      </c>
      <c r="C75" s="889" t="s">
        <v>672</v>
      </c>
      <c r="D75" s="889" t="s">
        <v>670</v>
      </c>
      <c r="E75" s="945" t="s">
        <v>673</v>
      </c>
    </row>
    <row r="76" spans="1:5" ht="25.5" x14ac:dyDescent="0.2">
      <c r="A76" s="892"/>
      <c r="B76" s="889" t="s">
        <v>562</v>
      </c>
      <c r="C76" s="889" t="s">
        <v>660</v>
      </c>
      <c r="D76" s="889" t="s">
        <v>684</v>
      </c>
      <c r="E76" s="946" t="s">
        <v>683</v>
      </c>
    </row>
    <row r="77" spans="1:5" ht="25.5" x14ac:dyDescent="0.2">
      <c r="A77" s="892"/>
      <c r="B77" s="889" t="s">
        <v>562</v>
      </c>
      <c r="C77" s="889" t="s">
        <v>660</v>
      </c>
      <c r="D77" s="889" t="s">
        <v>674</v>
      </c>
      <c r="E77" s="945"/>
    </row>
    <row r="78" spans="1:5" x14ac:dyDescent="0.2">
      <c r="A78" s="892"/>
      <c r="B78" s="889" t="s">
        <v>562</v>
      </c>
      <c r="C78" s="889" t="s">
        <v>660</v>
      </c>
      <c r="D78" s="890" t="s">
        <v>675</v>
      </c>
      <c r="E78" s="945"/>
    </row>
    <row r="79" spans="1:5" x14ac:dyDescent="0.2">
      <c r="A79" s="892"/>
      <c r="B79" s="889" t="s">
        <v>562</v>
      </c>
      <c r="C79" s="889" t="s">
        <v>631</v>
      </c>
      <c r="D79" s="890" t="s">
        <v>676</v>
      </c>
      <c r="E79" s="945"/>
    </row>
    <row r="80" spans="1:5" ht="102" x14ac:dyDescent="0.2">
      <c r="A80" s="892"/>
      <c r="B80" s="889" t="s">
        <v>562</v>
      </c>
      <c r="C80" s="889" t="s">
        <v>677</v>
      </c>
      <c r="D80" s="902" t="s">
        <v>678</v>
      </c>
      <c r="E80" s="946" t="s">
        <v>679</v>
      </c>
    </row>
    <row r="81" spans="1:5" x14ac:dyDescent="0.2">
      <c r="A81" s="892"/>
      <c r="B81" s="889" t="s">
        <v>562</v>
      </c>
      <c r="C81" s="889" t="s">
        <v>677</v>
      </c>
      <c r="D81" s="890" t="s">
        <v>680</v>
      </c>
      <c r="E81" s="945"/>
    </row>
    <row r="82" spans="1:5" ht="38.25" x14ac:dyDescent="0.2">
      <c r="A82" s="892"/>
      <c r="B82" s="889" t="s">
        <v>562</v>
      </c>
      <c r="C82" s="889" t="s">
        <v>637</v>
      </c>
      <c r="D82" s="890" t="s">
        <v>681</v>
      </c>
      <c r="E82" s="946" t="s">
        <v>682</v>
      </c>
    </row>
    <row r="83" spans="1:5" ht="25.5" x14ac:dyDescent="0.2">
      <c r="A83" s="893"/>
      <c r="B83" s="891" t="s">
        <v>562</v>
      </c>
      <c r="C83" s="891" t="s">
        <v>660</v>
      </c>
      <c r="D83" s="891" t="s">
        <v>685</v>
      </c>
      <c r="E83" s="947" t="s">
        <v>686</v>
      </c>
    </row>
    <row r="84" spans="1:5" ht="46.5" customHeight="1" x14ac:dyDescent="0.2">
      <c r="A84" s="1274">
        <v>45079</v>
      </c>
      <c r="B84" s="1270" t="s">
        <v>561</v>
      </c>
      <c r="C84" s="1268" t="s">
        <v>687</v>
      </c>
      <c r="D84" s="908" t="s">
        <v>750</v>
      </c>
      <c r="E84" s="1247" t="s">
        <v>694</v>
      </c>
    </row>
    <row r="85" spans="1:5" ht="38.25" x14ac:dyDescent="0.2">
      <c r="A85" s="1275"/>
      <c r="B85" s="1271"/>
      <c r="C85" s="1269"/>
      <c r="D85" s="906" t="s">
        <v>756</v>
      </c>
      <c r="E85" s="1248"/>
    </row>
    <row r="86" spans="1:5" ht="38.25" x14ac:dyDescent="0.2">
      <c r="A86" s="1275"/>
      <c r="B86" s="1271"/>
      <c r="C86" s="1269" t="s">
        <v>688</v>
      </c>
      <c r="D86" s="906" t="s">
        <v>757</v>
      </c>
      <c r="E86" s="1248"/>
    </row>
    <row r="87" spans="1:5" ht="38.25" x14ac:dyDescent="0.2">
      <c r="A87" s="1275"/>
      <c r="B87" s="1271"/>
      <c r="C87" s="1269"/>
      <c r="D87" s="906" t="s">
        <v>758</v>
      </c>
      <c r="E87" s="1248"/>
    </row>
    <row r="88" spans="1:5" ht="38.25" x14ac:dyDescent="0.2">
      <c r="A88" s="1275"/>
      <c r="B88" s="1271"/>
      <c r="C88" s="1269" t="s">
        <v>689</v>
      </c>
      <c r="D88" s="906" t="s">
        <v>751</v>
      </c>
      <c r="E88" s="1248"/>
    </row>
    <row r="89" spans="1:5" ht="38.25" x14ac:dyDescent="0.2">
      <c r="A89" s="1275"/>
      <c r="B89" s="1271"/>
      <c r="C89" s="1269"/>
      <c r="D89" s="906" t="s">
        <v>759</v>
      </c>
      <c r="E89" s="1248"/>
    </row>
    <row r="90" spans="1:5" ht="38.25" x14ac:dyDescent="0.2">
      <c r="A90" s="1275"/>
      <c r="B90" s="1271"/>
      <c r="C90" s="1269" t="s">
        <v>690</v>
      </c>
      <c r="D90" s="906" t="s">
        <v>752</v>
      </c>
      <c r="E90" s="1248"/>
    </row>
    <row r="91" spans="1:5" ht="38.25" x14ac:dyDescent="0.2">
      <c r="A91" s="1275"/>
      <c r="B91" s="1271"/>
      <c r="C91" s="1269"/>
      <c r="D91" s="906" t="s">
        <v>760</v>
      </c>
      <c r="E91" s="1248"/>
    </row>
    <row r="92" spans="1:5" ht="38.25" x14ac:dyDescent="0.2">
      <c r="A92" s="1275"/>
      <c r="B92" s="1271"/>
      <c r="C92" s="1269" t="s">
        <v>691</v>
      </c>
      <c r="D92" s="906" t="s">
        <v>753</v>
      </c>
      <c r="E92" s="1248"/>
    </row>
    <row r="93" spans="1:5" ht="38.25" x14ac:dyDescent="0.2">
      <c r="A93" s="1275"/>
      <c r="B93" s="1271"/>
      <c r="C93" s="1269"/>
      <c r="D93" s="906" t="s">
        <v>761</v>
      </c>
      <c r="E93" s="1248"/>
    </row>
    <row r="94" spans="1:5" ht="38.25" x14ac:dyDescent="0.2">
      <c r="A94" s="1275"/>
      <c r="B94" s="1271"/>
      <c r="C94" s="1269" t="s">
        <v>692</v>
      </c>
      <c r="D94" s="906" t="s">
        <v>754</v>
      </c>
      <c r="E94" s="1248"/>
    </row>
    <row r="95" spans="1:5" ht="38.25" x14ac:dyDescent="0.2">
      <c r="A95" s="1275"/>
      <c r="B95" s="1271"/>
      <c r="C95" s="1269"/>
      <c r="D95" s="906" t="s">
        <v>762</v>
      </c>
      <c r="E95" s="1248"/>
    </row>
    <row r="96" spans="1:5" ht="38.25" x14ac:dyDescent="0.2">
      <c r="A96" s="1275"/>
      <c r="B96" s="1271"/>
      <c r="C96" s="1269" t="s">
        <v>693</v>
      </c>
      <c r="D96" s="906" t="s">
        <v>755</v>
      </c>
      <c r="E96" s="1248"/>
    </row>
    <row r="97" spans="1:5" ht="38.25" x14ac:dyDescent="0.2">
      <c r="A97" s="1275"/>
      <c r="B97" s="1272"/>
      <c r="C97" s="1269"/>
      <c r="D97" s="906" t="s">
        <v>763</v>
      </c>
      <c r="E97" s="1273"/>
    </row>
    <row r="98" spans="1:5" ht="35.25" customHeight="1" x14ac:dyDescent="0.2">
      <c r="A98" s="1275"/>
      <c r="B98" s="1245" t="s">
        <v>641</v>
      </c>
      <c r="C98" s="1272" t="s">
        <v>696</v>
      </c>
      <c r="D98" s="909" t="s">
        <v>695</v>
      </c>
      <c r="E98" s="1248" t="s">
        <v>764</v>
      </c>
    </row>
    <row r="99" spans="1:5" ht="30" customHeight="1" x14ac:dyDescent="0.2">
      <c r="A99" s="1275"/>
      <c r="B99" s="1246"/>
      <c r="C99" s="1244"/>
      <c r="D99" s="906" t="s">
        <v>698</v>
      </c>
      <c r="E99" s="1249"/>
    </row>
    <row r="100" spans="1:5" ht="38.25" x14ac:dyDescent="0.2">
      <c r="A100" s="1275"/>
      <c r="B100" s="1246"/>
      <c r="C100" s="1253" t="s">
        <v>697</v>
      </c>
      <c r="D100" s="906" t="s">
        <v>699</v>
      </c>
      <c r="E100" s="1247" t="s">
        <v>706</v>
      </c>
    </row>
    <row r="101" spans="1:5" ht="38.25" x14ac:dyDescent="0.2">
      <c r="A101" s="1275"/>
      <c r="B101" s="1246"/>
      <c r="C101" s="1253"/>
      <c r="D101" s="906" t="s">
        <v>700</v>
      </c>
      <c r="E101" s="1248"/>
    </row>
    <row r="102" spans="1:5" ht="25.5" x14ac:dyDescent="0.2">
      <c r="A102" s="1275"/>
      <c r="B102" s="1244" t="s">
        <v>562</v>
      </c>
      <c r="C102" s="1243" t="s">
        <v>703</v>
      </c>
      <c r="D102" s="906" t="s">
        <v>701</v>
      </c>
      <c r="E102" s="1248"/>
    </row>
    <row r="103" spans="1:5" ht="25.5" x14ac:dyDescent="0.2">
      <c r="A103" s="1275"/>
      <c r="B103" s="1244"/>
      <c r="C103" s="1244"/>
      <c r="D103" s="906" t="s">
        <v>702</v>
      </c>
      <c r="E103" s="1248"/>
    </row>
    <row r="104" spans="1:5" ht="25.5" x14ac:dyDescent="0.2">
      <c r="A104" s="1275"/>
      <c r="B104" s="1244" t="s">
        <v>562</v>
      </c>
      <c r="C104" s="1243" t="s">
        <v>704</v>
      </c>
      <c r="D104" s="906" t="s">
        <v>701</v>
      </c>
      <c r="E104" s="1248"/>
    </row>
    <row r="105" spans="1:5" ht="25.5" x14ac:dyDescent="0.2">
      <c r="A105" s="1275"/>
      <c r="B105" s="1244"/>
      <c r="C105" s="1244"/>
      <c r="D105" s="906" t="s">
        <v>714</v>
      </c>
      <c r="E105" s="1248"/>
    </row>
    <row r="106" spans="1:5" ht="38.25" x14ac:dyDescent="0.2">
      <c r="A106" s="1275"/>
      <c r="B106" s="1244" t="s">
        <v>561</v>
      </c>
      <c r="C106" s="1243" t="s">
        <v>705</v>
      </c>
      <c r="D106" s="906" t="s">
        <v>766</v>
      </c>
      <c r="E106" s="1248"/>
    </row>
    <row r="107" spans="1:5" ht="38.25" x14ac:dyDescent="0.2">
      <c r="A107" s="1275"/>
      <c r="B107" s="1244"/>
      <c r="C107" s="1244"/>
      <c r="D107" s="906" t="s">
        <v>765</v>
      </c>
      <c r="E107" s="1248"/>
    </row>
    <row r="108" spans="1:5" x14ac:dyDescent="0.2">
      <c r="A108" s="1275"/>
      <c r="B108" s="1244" t="s">
        <v>562</v>
      </c>
      <c r="C108" s="1243" t="s">
        <v>708</v>
      </c>
      <c r="D108" s="906" t="s">
        <v>707</v>
      </c>
      <c r="E108" s="1248"/>
    </row>
    <row r="109" spans="1:5" x14ac:dyDescent="0.2">
      <c r="A109" s="1275"/>
      <c r="B109" s="1244"/>
      <c r="C109" s="1244"/>
      <c r="D109" s="906" t="s">
        <v>709</v>
      </c>
      <c r="E109" s="1248"/>
    </row>
    <row r="110" spans="1:5" x14ac:dyDescent="0.2">
      <c r="A110" s="1275"/>
      <c r="B110" s="1244" t="s">
        <v>562</v>
      </c>
      <c r="C110" s="1243" t="s">
        <v>710</v>
      </c>
      <c r="D110" s="906" t="s">
        <v>707</v>
      </c>
      <c r="E110" s="1248"/>
    </row>
    <row r="111" spans="1:5" x14ac:dyDescent="0.2">
      <c r="A111" s="1276"/>
      <c r="B111" s="1250"/>
      <c r="C111" s="1250"/>
      <c r="D111" s="907" t="s">
        <v>709</v>
      </c>
      <c r="E111" s="1248"/>
    </row>
    <row r="112" spans="1:5" x14ac:dyDescent="0.2">
      <c r="A112" s="1256">
        <v>45082</v>
      </c>
      <c r="B112" s="1254" t="s">
        <v>606</v>
      </c>
      <c r="C112" s="1251" t="s">
        <v>711</v>
      </c>
      <c r="D112" s="910" t="s">
        <v>712</v>
      </c>
      <c r="E112" s="1248"/>
    </row>
    <row r="113" spans="1:5" x14ac:dyDescent="0.2">
      <c r="A113" s="1256"/>
      <c r="B113" s="1254"/>
      <c r="C113" s="1252"/>
      <c r="D113" s="911" t="s">
        <v>713</v>
      </c>
      <c r="E113" s="1248"/>
    </row>
    <row r="114" spans="1:5" x14ac:dyDescent="0.2">
      <c r="A114" s="1256"/>
      <c r="B114" s="1254"/>
      <c r="C114" s="1258" t="s">
        <v>715</v>
      </c>
      <c r="D114" s="912" t="s">
        <v>712</v>
      </c>
      <c r="E114" s="1248"/>
    </row>
    <row r="115" spans="1:5" x14ac:dyDescent="0.2">
      <c r="A115" s="1257"/>
      <c r="B115" s="1255"/>
      <c r="C115" s="1259"/>
      <c r="D115" s="913" t="s">
        <v>713</v>
      </c>
      <c r="E115" s="1249"/>
    </row>
    <row r="116" spans="1:5" x14ac:dyDescent="0.2">
      <c r="A116" s="1230">
        <v>45083</v>
      </c>
      <c r="B116" s="1231" t="s">
        <v>641</v>
      </c>
      <c r="C116" s="914" t="s">
        <v>716</v>
      </c>
      <c r="D116" s="915" t="s">
        <v>717</v>
      </c>
      <c r="E116" s="1224" t="s">
        <v>729</v>
      </c>
    </row>
    <row r="117" spans="1:5" x14ac:dyDescent="0.2">
      <c r="A117" s="1230"/>
      <c r="B117" s="1231"/>
      <c r="C117" s="916" t="s">
        <v>719</v>
      </c>
      <c r="D117" s="917" t="s">
        <v>718</v>
      </c>
      <c r="E117" s="1225"/>
    </row>
    <row r="118" spans="1:5" x14ac:dyDescent="0.2">
      <c r="A118" s="1230"/>
      <c r="B118" s="1231"/>
      <c r="C118" s="916" t="s">
        <v>720</v>
      </c>
      <c r="D118" s="917" t="s">
        <v>721</v>
      </c>
      <c r="E118" s="1225"/>
    </row>
    <row r="119" spans="1:5" ht="25.5" x14ac:dyDescent="0.2">
      <c r="A119" s="1230"/>
      <c r="B119" s="1231"/>
      <c r="C119" s="916" t="s">
        <v>726</v>
      </c>
      <c r="D119" s="917" t="s">
        <v>727</v>
      </c>
      <c r="E119" s="1225"/>
    </row>
    <row r="120" spans="1:5" ht="25.5" x14ac:dyDescent="0.2">
      <c r="A120" s="1230"/>
      <c r="B120" s="1232"/>
      <c r="C120" s="916" t="s">
        <v>730</v>
      </c>
      <c r="D120" s="917" t="s">
        <v>728</v>
      </c>
      <c r="E120" s="1225"/>
    </row>
    <row r="121" spans="1:5" x14ac:dyDescent="0.2">
      <c r="A121" s="1230"/>
      <c r="B121" s="919" t="s">
        <v>538</v>
      </c>
      <c r="C121" s="916" t="s">
        <v>724</v>
      </c>
      <c r="D121" s="917" t="s">
        <v>725</v>
      </c>
      <c r="E121" s="948"/>
    </row>
    <row r="122" spans="1:5" x14ac:dyDescent="0.2">
      <c r="A122" s="1230"/>
      <c r="B122" s="1228" t="s">
        <v>562</v>
      </c>
      <c r="C122" s="1226" t="s">
        <v>731</v>
      </c>
      <c r="D122" s="917" t="s">
        <v>732</v>
      </c>
      <c r="E122" s="949"/>
    </row>
    <row r="123" spans="1:5" x14ac:dyDescent="0.2">
      <c r="A123" s="1230"/>
      <c r="B123" s="1229"/>
      <c r="C123" s="1227"/>
      <c r="D123" s="918" t="s">
        <v>733</v>
      </c>
      <c r="E123" s="950"/>
    </row>
    <row r="124" spans="1:5" ht="38.25" x14ac:dyDescent="0.2">
      <c r="A124" s="1233">
        <v>45089</v>
      </c>
      <c r="B124" s="1241" t="s">
        <v>562</v>
      </c>
      <c r="C124" s="1239" t="s">
        <v>677</v>
      </c>
      <c r="D124" s="1065" t="s">
        <v>735</v>
      </c>
      <c r="E124" s="1237" t="s">
        <v>736</v>
      </c>
    </row>
    <row r="125" spans="1:5" ht="25.5" x14ac:dyDescent="0.2">
      <c r="A125" s="1233"/>
      <c r="B125" s="1236"/>
      <c r="C125" s="1240"/>
      <c r="D125" s="1066" t="s">
        <v>734</v>
      </c>
      <c r="E125" s="1238"/>
    </row>
    <row r="126" spans="1:5" ht="25.5" customHeight="1" x14ac:dyDescent="0.2">
      <c r="A126" s="1233"/>
      <c r="B126" s="1236" t="s">
        <v>641</v>
      </c>
      <c r="C126" s="1067" t="s">
        <v>739</v>
      </c>
      <c r="D126" s="920" t="s">
        <v>737</v>
      </c>
      <c r="E126" s="1234" t="s">
        <v>738</v>
      </c>
    </row>
    <row r="127" spans="1:5" ht="25.5" customHeight="1" x14ac:dyDescent="0.2">
      <c r="A127" s="1233"/>
      <c r="B127" s="1236"/>
      <c r="C127" s="1067" t="s">
        <v>740</v>
      </c>
      <c r="D127" s="1068" t="s">
        <v>741</v>
      </c>
      <c r="E127" s="1235"/>
    </row>
    <row r="128" spans="1:5" x14ac:dyDescent="0.2">
      <c r="A128" s="1233"/>
      <c r="B128" s="1236" t="s">
        <v>562</v>
      </c>
      <c r="C128" s="1067" t="s">
        <v>708</v>
      </c>
      <c r="D128" s="1068" t="s">
        <v>746</v>
      </c>
      <c r="E128" s="1235"/>
    </row>
    <row r="129" spans="1:5" x14ac:dyDescent="0.2">
      <c r="A129" s="1233"/>
      <c r="B129" s="1236"/>
      <c r="C129" s="1069" t="s">
        <v>710</v>
      </c>
      <c r="D129" s="1068" t="s">
        <v>746</v>
      </c>
      <c r="E129" s="1235"/>
    </row>
    <row r="130" spans="1:5" x14ac:dyDescent="0.2">
      <c r="A130" s="1233"/>
      <c r="B130" s="1236"/>
      <c r="C130" s="1069" t="s">
        <v>731</v>
      </c>
      <c r="D130" s="1068" t="s">
        <v>746</v>
      </c>
      <c r="E130" s="1235"/>
    </row>
    <row r="131" spans="1:5" x14ac:dyDescent="0.2">
      <c r="A131" s="1233"/>
      <c r="B131" s="1236"/>
      <c r="C131" s="1069" t="s">
        <v>704</v>
      </c>
      <c r="D131" s="1068" t="s">
        <v>746</v>
      </c>
      <c r="E131" s="1235"/>
    </row>
    <row r="132" spans="1:5" x14ac:dyDescent="0.2">
      <c r="A132" s="1233"/>
      <c r="B132" s="1236"/>
      <c r="C132" s="1069" t="s">
        <v>703</v>
      </c>
      <c r="D132" s="1068" t="s">
        <v>746</v>
      </c>
      <c r="E132" s="1235"/>
    </row>
    <row r="133" spans="1:5" x14ac:dyDescent="0.2">
      <c r="A133" s="1233"/>
      <c r="B133" s="1236" t="s">
        <v>606</v>
      </c>
      <c r="C133" s="1069" t="s">
        <v>715</v>
      </c>
      <c r="D133" s="1068" t="s">
        <v>746</v>
      </c>
      <c r="E133" s="1235"/>
    </row>
    <row r="134" spans="1:5" x14ac:dyDescent="0.2">
      <c r="A134" s="1233"/>
      <c r="B134" s="1236"/>
      <c r="C134" s="1069" t="s">
        <v>748</v>
      </c>
      <c r="D134" s="1068" t="s">
        <v>746</v>
      </c>
      <c r="E134" s="1235"/>
    </row>
    <row r="135" spans="1:5" x14ac:dyDescent="0.2">
      <c r="A135" s="1233"/>
      <c r="B135" s="1236"/>
      <c r="C135" s="1069" t="s">
        <v>749</v>
      </c>
      <c r="D135" s="1068" t="s">
        <v>746</v>
      </c>
      <c r="E135" s="1235"/>
    </row>
    <row r="136" spans="1:5" x14ac:dyDescent="0.2">
      <c r="A136" s="1233"/>
      <c r="B136" s="1236"/>
      <c r="C136" s="1069" t="s">
        <v>711</v>
      </c>
      <c r="D136" s="1068" t="s">
        <v>746</v>
      </c>
      <c r="E136" s="1235"/>
    </row>
    <row r="137" spans="1:5" x14ac:dyDescent="0.2">
      <c r="A137" s="1233"/>
      <c r="B137" s="1070" t="s">
        <v>69</v>
      </c>
      <c r="C137" s="1070" t="s">
        <v>705</v>
      </c>
      <c r="D137" s="1071" t="s">
        <v>746</v>
      </c>
      <c r="E137" s="1235"/>
    </row>
    <row r="138" spans="1:5" ht="71.25" customHeight="1" x14ac:dyDescent="0.2">
      <c r="A138" s="1085">
        <v>45152</v>
      </c>
      <c r="B138" s="1119" t="s">
        <v>767</v>
      </c>
      <c r="C138" s="1120" t="s">
        <v>660</v>
      </c>
      <c r="D138" s="1121" t="s">
        <v>768</v>
      </c>
      <c r="E138" s="1118" t="s">
        <v>769</v>
      </c>
    </row>
    <row r="139" spans="1:5" ht="25.5" x14ac:dyDescent="0.2">
      <c r="A139" s="1086">
        <v>45247</v>
      </c>
      <c r="B139" s="1108" t="s">
        <v>538</v>
      </c>
      <c r="C139" s="1109" t="s">
        <v>772</v>
      </c>
      <c r="D139" s="1112" t="s">
        <v>773</v>
      </c>
      <c r="E139" s="1113"/>
    </row>
    <row r="140" spans="1:5" x14ac:dyDescent="0.2">
      <c r="A140" s="1083"/>
      <c r="B140" s="1072"/>
      <c r="C140" s="1110" t="s">
        <v>775</v>
      </c>
      <c r="D140" s="1114" t="s">
        <v>776</v>
      </c>
      <c r="E140" s="1115"/>
    </row>
    <row r="141" spans="1:5" x14ac:dyDescent="0.2">
      <c r="A141" s="1083"/>
      <c r="B141" s="1072"/>
      <c r="C141" s="1110" t="s">
        <v>774</v>
      </c>
      <c r="D141" s="1114" t="s">
        <v>778</v>
      </c>
      <c r="E141" s="1115"/>
    </row>
    <row r="142" spans="1:5" x14ac:dyDescent="0.2">
      <c r="A142" s="1083"/>
      <c r="B142" s="1072"/>
      <c r="C142" s="1110" t="s">
        <v>779</v>
      </c>
      <c r="D142" s="1114" t="s">
        <v>780</v>
      </c>
      <c r="E142" s="1115"/>
    </row>
    <row r="143" spans="1:5" x14ac:dyDescent="0.2">
      <c r="A143" s="1084"/>
      <c r="B143" s="1072"/>
      <c r="C143" s="1111" t="s">
        <v>781</v>
      </c>
      <c r="D143" s="1116" t="s">
        <v>782</v>
      </c>
      <c r="E143" s="1117"/>
    </row>
    <row r="144" spans="1:5" ht="25.5" x14ac:dyDescent="0.2">
      <c r="A144" s="1261">
        <v>45250</v>
      </c>
      <c r="B144" s="1077" t="s">
        <v>641</v>
      </c>
      <c r="C144" s="1087" t="s">
        <v>739</v>
      </c>
      <c r="D144" s="1088" t="s">
        <v>771</v>
      </c>
      <c r="E144" s="1089"/>
    </row>
    <row r="145" spans="1:5" ht="25.5" x14ac:dyDescent="0.2">
      <c r="A145" s="1261"/>
      <c r="B145" s="1078"/>
      <c r="C145" s="1090" t="s">
        <v>740</v>
      </c>
      <c r="D145" s="1127" t="s">
        <v>925</v>
      </c>
      <c r="E145" s="1092"/>
    </row>
    <row r="146" spans="1:5" x14ac:dyDescent="0.2">
      <c r="A146" s="1261"/>
      <c r="B146" s="1078"/>
      <c r="C146" s="1090" t="s">
        <v>588</v>
      </c>
      <c r="D146" s="1093" t="s">
        <v>830</v>
      </c>
      <c r="E146" s="1094" t="s">
        <v>831</v>
      </c>
    </row>
    <row r="147" spans="1:5" ht="25.5" x14ac:dyDescent="0.2">
      <c r="A147" s="1261"/>
      <c r="B147" s="1079"/>
      <c r="C147" s="1090" t="s">
        <v>589</v>
      </c>
      <c r="D147" s="1093" t="s">
        <v>885</v>
      </c>
      <c r="E147" s="1095" t="s">
        <v>886</v>
      </c>
    </row>
    <row r="148" spans="1:5" ht="25.5" x14ac:dyDescent="0.2">
      <c r="A148" s="1261"/>
      <c r="B148" s="1078" t="s">
        <v>517</v>
      </c>
      <c r="C148" s="1096" t="s">
        <v>783</v>
      </c>
      <c r="D148" s="1097" t="s">
        <v>784</v>
      </c>
      <c r="E148" s="1098"/>
    </row>
    <row r="149" spans="1:5" ht="38.25" x14ac:dyDescent="0.2">
      <c r="A149" s="1261"/>
      <c r="B149" s="1073"/>
      <c r="C149" s="1090" t="s">
        <v>785</v>
      </c>
      <c r="D149" s="1091" t="s">
        <v>786</v>
      </c>
      <c r="E149" s="1092"/>
    </row>
    <row r="150" spans="1:5" x14ac:dyDescent="0.2">
      <c r="A150" s="1261"/>
      <c r="B150" s="1074"/>
      <c r="C150" s="1090" t="s">
        <v>787</v>
      </c>
      <c r="D150" s="1091" t="s">
        <v>791</v>
      </c>
      <c r="E150" s="1094"/>
    </row>
    <row r="151" spans="1:5" x14ac:dyDescent="0.2">
      <c r="A151" s="1261"/>
      <c r="B151" s="1074"/>
      <c r="C151" s="1090" t="s">
        <v>788</v>
      </c>
      <c r="D151" s="1091" t="s">
        <v>789</v>
      </c>
      <c r="E151" s="1094"/>
    </row>
    <row r="152" spans="1:5" x14ac:dyDescent="0.2">
      <c r="A152" s="1261"/>
      <c r="B152" s="1074"/>
      <c r="C152" s="1090" t="s">
        <v>790</v>
      </c>
      <c r="D152" s="1091" t="s">
        <v>791</v>
      </c>
      <c r="E152" s="1094"/>
    </row>
    <row r="153" spans="1:5" x14ac:dyDescent="0.2">
      <c r="A153" s="1261"/>
      <c r="B153" s="1074"/>
      <c r="C153" s="1090" t="s">
        <v>792</v>
      </c>
      <c r="D153" s="1091" t="s">
        <v>793</v>
      </c>
      <c r="E153" s="1094"/>
    </row>
    <row r="154" spans="1:5" x14ac:dyDescent="0.2">
      <c r="A154" s="1261"/>
      <c r="B154" s="1074"/>
      <c r="C154" s="1090" t="s">
        <v>794</v>
      </c>
      <c r="D154" s="1091" t="s">
        <v>791</v>
      </c>
      <c r="E154" s="1094"/>
    </row>
    <row r="155" spans="1:5" x14ac:dyDescent="0.2">
      <c r="A155" s="1261"/>
      <c r="B155" s="1074"/>
      <c r="C155" s="1090" t="s">
        <v>795</v>
      </c>
      <c r="D155" s="1091" t="s">
        <v>796</v>
      </c>
      <c r="E155" s="1094"/>
    </row>
    <row r="156" spans="1:5" x14ac:dyDescent="0.2">
      <c r="A156" s="1261"/>
      <c r="B156" s="1074"/>
      <c r="C156" s="1090" t="s">
        <v>797</v>
      </c>
      <c r="D156" s="1091" t="s">
        <v>798</v>
      </c>
      <c r="E156" s="1094"/>
    </row>
    <row r="157" spans="1:5" ht="38.25" x14ac:dyDescent="0.2">
      <c r="A157" s="1261"/>
      <c r="B157" s="1074"/>
      <c r="C157" s="1090" t="s">
        <v>799</v>
      </c>
      <c r="D157" s="1091" t="s">
        <v>800</v>
      </c>
      <c r="E157" s="1094"/>
    </row>
    <row r="158" spans="1:5" ht="38.25" x14ac:dyDescent="0.2">
      <c r="A158" s="1261"/>
      <c r="B158" s="1074"/>
      <c r="C158" s="1090" t="s">
        <v>801</v>
      </c>
      <c r="D158" s="1091" t="s">
        <v>859</v>
      </c>
      <c r="E158" s="1094"/>
    </row>
    <row r="159" spans="1:5" ht="25.5" x14ac:dyDescent="0.2">
      <c r="A159" s="1261"/>
      <c r="B159" s="1074"/>
      <c r="C159" s="1090" t="s">
        <v>802</v>
      </c>
      <c r="D159" s="1091" t="s">
        <v>803</v>
      </c>
      <c r="E159" s="1094"/>
    </row>
    <row r="160" spans="1:5" ht="25.5" x14ac:dyDescent="0.2">
      <c r="A160" s="1261"/>
      <c r="B160" s="1074"/>
      <c r="C160" s="1090" t="s">
        <v>804</v>
      </c>
      <c r="D160" s="1091" t="s">
        <v>805</v>
      </c>
      <c r="E160" s="1094"/>
    </row>
    <row r="161" spans="1:5" ht="76.5" x14ac:dyDescent="0.2">
      <c r="A161" s="1261"/>
      <c r="B161" s="1074"/>
      <c r="C161" s="1090" t="s">
        <v>806</v>
      </c>
      <c r="D161" s="1091" t="s">
        <v>807</v>
      </c>
      <c r="E161" s="1095" t="s">
        <v>921</v>
      </c>
    </row>
    <row r="162" spans="1:5" ht="76.5" x14ac:dyDescent="0.2">
      <c r="A162" s="1261"/>
      <c r="B162" s="1074"/>
      <c r="C162" s="1090" t="s">
        <v>809</v>
      </c>
      <c r="D162" s="1091" t="s">
        <v>808</v>
      </c>
      <c r="E162" s="1095" t="s">
        <v>922</v>
      </c>
    </row>
    <row r="163" spans="1:5" ht="76.5" x14ac:dyDescent="0.2">
      <c r="A163" s="1261"/>
      <c r="B163" s="1074"/>
      <c r="C163" s="1090" t="s">
        <v>811</v>
      </c>
      <c r="D163" s="1091" t="s">
        <v>810</v>
      </c>
      <c r="E163" s="1095" t="s">
        <v>923</v>
      </c>
    </row>
    <row r="164" spans="1:5" ht="25.5" x14ac:dyDescent="0.2">
      <c r="A164" s="1261"/>
      <c r="B164" s="1074"/>
      <c r="C164" s="1090" t="s">
        <v>813</v>
      </c>
      <c r="D164" s="1091" t="s">
        <v>814</v>
      </c>
      <c r="E164" s="1094"/>
    </row>
    <row r="165" spans="1:5" ht="25.5" x14ac:dyDescent="0.2">
      <c r="A165" s="1261"/>
      <c r="B165" s="1074"/>
      <c r="C165" s="1090" t="s">
        <v>815</v>
      </c>
      <c r="D165" s="1099" t="s">
        <v>812</v>
      </c>
      <c r="E165" s="1094"/>
    </row>
    <row r="166" spans="1:5" x14ac:dyDescent="0.2">
      <c r="A166" s="1261"/>
      <c r="B166" s="1074"/>
      <c r="C166" s="1090" t="s">
        <v>816</v>
      </c>
      <c r="D166" s="1091" t="s">
        <v>817</v>
      </c>
      <c r="E166" s="1094"/>
    </row>
    <row r="167" spans="1:5" ht="25.5" x14ac:dyDescent="0.2">
      <c r="A167" s="1261"/>
      <c r="B167" s="1074"/>
      <c r="C167" s="1090" t="s">
        <v>819</v>
      </c>
      <c r="D167" s="1099" t="s">
        <v>818</v>
      </c>
      <c r="E167" s="1094"/>
    </row>
    <row r="168" spans="1:5" ht="25.5" x14ac:dyDescent="0.2">
      <c r="A168" s="1261"/>
      <c r="B168" s="1074"/>
      <c r="C168" s="1090" t="s">
        <v>820</v>
      </c>
      <c r="D168" s="1091" t="s">
        <v>826</v>
      </c>
      <c r="E168" s="1095" t="s">
        <v>821</v>
      </c>
    </row>
    <row r="169" spans="1:5" ht="25.5" x14ac:dyDescent="0.2">
      <c r="A169" s="1261"/>
      <c r="B169" s="1074"/>
      <c r="C169" s="1090" t="s">
        <v>823</v>
      </c>
      <c r="D169" s="1099" t="s">
        <v>822</v>
      </c>
      <c r="E169" s="1094"/>
    </row>
    <row r="170" spans="1:5" x14ac:dyDescent="0.2">
      <c r="A170" s="1261"/>
      <c r="B170" s="1074"/>
      <c r="C170" s="1090" t="s">
        <v>824</v>
      </c>
      <c r="D170" s="1091" t="s">
        <v>825</v>
      </c>
      <c r="E170" s="1094"/>
    </row>
    <row r="171" spans="1:5" ht="25.5" x14ac:dyDescent="0.2">
      <c r="A171" s="1261"/>
      <c r="B171" s="1074"/>
      <c r="C171" s="1090" t="s">
        <v>827</v>
      </c>
      <c r="D171" s="1099" t="s">
        <v>828</v>
      </c>
      <c r="E171" s="1094"/>
    </row>
    <row r="172" spans="1:5" ht="25.5" x14ac:dyDescent="0.2">
      <c r="A172" s="1261"/>
      <c r="B172" s="1074"/>
      <c r="C172" s="1090" t="s">
        <v>829</v>
      </c>
      <c r="D172" s="1091" t="s">
        <v>887</v>
      </c>
      <c r="E172" s="1094"/>
    </row>
    <row r="173" spans="1:5" x14ac:dyDescent="0.2">
      <c r="A173" s="1261"/>
      <c r="B173" s="1074"/>
      <c r="C173" s="1090" t="s">
        <v>833</v>
      </c>
      <c r="D173" s="1099" t="s">
        <v>834</v>
      </c>
      <c r="E173" s="1094"/>
    </row>
    <row r="174" spans="1:5" ht="63.75" x14ac:dyDescent="0.2">
      <c r="A174" s="1261"/>
      <c r="B174" s="1074"/>
      <c r="C174" s="1090" t="s">
        <v>832</v>
      </c>
      <c r="D174" s="1099" t="s">
        <v>835</v>
      </c>
      <c r="E174" s="1094"/>
    </row>
    <row r="175" spans="1:5" ht="63.75" x14ac:dyDescent="0.2">
      <c r="A175" s="1261"/>
      <c r="B175" s="1074"/>
      <c r="C175" s="1090" t="s">
        <v>836</v>
      </c>
      <c r="D175" s="1099" t="s">
        <v>837</v>
      </c>
      <c r="E175" s="1094"/>
    </row>
    <row r="176" spans="1:5" ht="63.75" x14ac:dyDescent="0.2">
      <c r="A176" s="1261"/>
      <c r="B176" s="1074"/>
      <c r="C176" s="1090" t="s">
        <v>839</v>
      </c>
      <c r="D176" s="1099" t="s">
        <v>838</v>
      </c>
      <c r="E176" s="1094"/>
    </row>
    <row r="177" spans="1:5" ht="41.25" customHeight="1" x14ac:dyDescent="0.2">
      <c r="A177" s="1261"/>
      <c r="B177" s="1074"/>
      <c r="C177" s="1090" t="s">
        <v>841</v>
      </c>
      <c r="D177" s="1100" t="s">
        <v>840</v>
      </c>
      <c r="E177" s="1094" t="s">
        <v>842</v>
      </c>
    </row>
    <row r="178" spans="1:5" x14ac:dyDescent="0.2">
      <c r="A178" s="1261"/>
      <c r="B178" s="1074"/>
      <c r="C178" s="1090" t="s">
        <v>843</v>
      </c>
      <c r="D178" s="1099" t="s">
        <v>844</v>
      </c>
      <c r="E178" s="1094"/>
    </row>
    <row r="179" spans="1:5" ht="25.5" x14ac:dyDescent="0.2">
      <c r="A179" s="1261"/>
      <c r="B179" s="1074"/>
      <c r="C179" s="1090" t="s">
        <v>846</v>
      </c>
      <c r="D179" s="1091" t="s">
        <v>845</v>
      </c>
      <c r="E179" s="1095" t="s">
        <v>889</v>
      </c>
    </row>
    <row r="180" spans="1:5" ht="25.5" x14ac:dyDescent="0.2">
      <c r="A180" s="1261"/>
      <c r="B180" s="1074"/>
      <c r="C180" s="1094" t="s">
        <v>848</v>
      </c>
      <c r="D180" s="1099" t="s">
        <v>851</v>
      </c>
      <c r="E180" s="1095" t="s">
        <v>889</v>
      </c>
    </row>
    <row r="181" spans="1:5" ht="25.5" x14ac:dyDescent="0.2">
      <c r="A181" s="1261"/>
      <c r="B181" s="1074"/>
      <c r="C181" s="1090" t="s">
        <v>849</v>
      </c>
      <c r="D181" s="1099" t="s">
        <v>847</v>
      </c>
      <c r="E181" s="1095" t="s">
        <v>889</v>
      </c>
    </row>
    <row r="182" spans="1:5" x14ac:dyDescent="0.2">
      <c r="A182" s="1261"/>
      <c r="B182" s="1074"/>
      <c r="C182" s="1094" t="s">
        <v>850</v>
      </c>
      <c r="D182" s="1099" t="s">
        <v>852</v>
      </c>
      <c r="E182" s="1094"/>
    </row>
    <row r="183" spans="1:5" x14ac:dyDescent="0.2">
      <c r="A183" s="1261"/>
      <c r="B183" s="1074"/>
      <c r="C183" s="1090" t="s">
        <v>711</v>
      </c>
      <c r="D183" s="1099" t="s">
        <v>853</v>
      </c>
      <c r="E183" s="1094"/>
    </row>
    <row r="184" spans="1:5" ht="25.5" x14ac:dyDescent="0.2">
      <c r="A184" s="1261"/>
      <c r="B184" s="1074"/>
      <c r="C184" s="1094" t="s">
        <v>855</v>
      </c>
      <c r="D184" s="1093" t="s">
        <v>854</v>
      </c>
      <c r="E184" s="1094" t="s">
        <v>856</v>
      </c>
    </row>
    <row r="185" spans="1:5" ht="25.5" x14ac:dyDescent="0.2">
      <c r="A185" s="1261"/>
      <c r="B185" s="1207"/>
      <c r="C185" s="1090" t="s">
        <v>858</v>
      </c>
      <c r="D185" s="1093" t="s">
        <v>857</v>
      </c>
      <c r="E185" s="1094" t="s">
        <v>920</v>
      </c>
    </row>
    <row r="186" spans="1:5" ht="51" x14ac:dyDescent="0.2">
      <c r="A186" s="1261"/>
      <c r="B186" s="1207"/>
      <c r="C186" s="1094" t="s">
        <v>860</v>
      </c>
      <c r="D186" s="1093" t="s">
        <v>861</v>
      </c>
      <c r="E186" s="1094" t="s">
        <v>888</v>
      </c>
    </row>
    <row r="187" spans="1:5" ht="51" x14ac:dyDescent="0.2">
      <c r="A187" s="1261"/>
      <c r="B187" s="1207"/>
      <c r="C187" s="1090" t="s">
        <v>863</v>
      </c>
      <c r="D187" s="1093" t="s">
        <v>862</v>
      </c>
      <c r="E187" s="1094" t="s">
        <v>888</v>
      </c>
    </row>
    <row r="188" spans="1:5" ht="51" x14ac:dyDescent="0.2">
      <c r="A188" s="1261"/>
      <c r="B188" s="1207"/>
      <c r="C188" s="1094" t="s">
        <v>864</v>
      </c>
      <c r="D188" s="1208" t="s">
        <v>877</v>
      </c>
      <c r="E188" s="1094" t="s">
        <v>888</v>
      </c>
    </row>
    <row r="189" spans="1:5" ht="38.25" x14ac:dyDescent="0.2">
      <c r="A189" s="1261"/>
      <c r="B189" s="1207"/>
      <c r="C189" s="1090" t="s">
        <v>866</v>
      </c>
      <c r="D189" s="1209" t="s">
        <v>865</v>
      </c>
      <c r="E189" s="1094" t="s">
        <v>888</v>
      </c>
    </row>
    <row r="190" spans="1:5" ht="38.25" x14ac:dyDescent="0.2">
      <c r="A190" s="1261"/>
      <c r="B190" s="1207"/>
      <c r="C190" s="1094" t="s">
        <v>867</v>
      </c>
      <c r="D190" s="1209" t="s">
        <v>870</v>
      </c>
      <c r="E190" s="1094" t="s">
        <v>888</v>
      </c>
    </row>
    <row r="191" spans="1:5" ht="38.25" x14ac:dyDescent="0.2">
      <c r="A191" s="1261"/>
      <c r="B191" s="1207"/>
      <c r="C191" s="1090" t="s">
        <v>874</v>
      </c>
      <c r="D191" s="1209" t="s">
        <v>871</v>
      </c>
      <c r="E191" s="1094" t="s">
        <v>888</v>
      </c>
    </row>
    <row r="192" spans="1:5" ht="38.25" x14ac:dyDescent="0.2">
      <c r="A192" s="1261"/>
      <c r="B192" s="1207"/>
      <c r="C192" s="1094" t="s">
        <v>873</v>
      </c>
      <c r="D192" s="1209" t="s">
        <v>868</v>
      </c>
      <c r="E192" s="1094" t="s">
        <v>888</v>
      </c>
    </row>
    <row r="193" spans="1:5" ht="38.25" x14ac:dyDescent="0.2">
      <c r="A193" s="1261"/>
      <c r="B193" s="1207"/>
      <c r="C193" s="1090" t="s">
        <v>875</v>
      </c>
      <c r="D193" s="1209" t="s">
        <v>872</v>
      </c>
      <c r="E193" s="1094" t="s">
        <v>888</v>
      </c>
    </row>
    <row r="194" spans="1:5" ht="38.25" x14ac:dyDescent="0.2">
      <c r="A194" s="1261"/>
      <c r="B194" s="1207"/>
      <c r="C194" s="1094" t="s">
        <v>876</v>
      </c>
      <c r="D194" s="1209" t="s">
        <v>869</v>
      </c>
      <c r="E194" s="1094" t="s">
        <v>888</v>
      </c>
    </row>
    <row r="195" spans="1:5" x14ac:dyDescent="0.2">
      <c r="A195" s="1261"/>
      <c r="B195" s="1080"/>
      <c r="C195" s="1090" t="s">
        <v>880</v>
      </c>
      <c r="D195" s="1209" t="s">
        <v>881</v>
      </c>
      <c r="E195" s="1094" t="s">
        <v>882</v>
      </c>
    </row>
    <row r="196" spans="1:5" ht="25.5" x14ac:dyDescent="0.2">
      <c r="A196" s="1261"/>
      <c r="B196" s="1094" t="s">
        <v>561</v>
      </c>
      <c r="C196" s="1090" t="s">
        <v>878</v>
      </c>
      <c r="D196" s="1101" t="s">
        <v>879</v>
      </c>
      <c r="E196" s="1094"/>
    </row>
    <row r="197" spans="1:5" ht="25.5" x14ac:dyDescent="0.2">
      <c r="A197" s="1261"/>
      <c r="B197" s="1094" t="s">
        <v>606</v>
      </c>
      <c r="C197" s="1090" t="s">
        <v>883</v>
      </c>
      <c r="D197" s="1101" t="s">
        <v>884</v>
      </c>
      <c r="E197" s="1094"/>
    </row>
    <row r="198" spans="1:5" x14ac:dyDescent="0.2">
      <c r="A198" s="1261"/>
      <c r="B198" s="1075" t="s">
        <v>536</v>
      </c>
      <c r="C198" s="1090" t="s">
        <v>891</v>
      </c>
      <c r="D198" s="1101" t="s">
        <v>892</v>
      </c>
      <c r="E198" s="1094"/>
    </row>
    <row r="199" spans="1:5" x14ac:dyDescent="0.2">
      <c r="A199" s="1261"/>
      <c r="B199" s="1076" t="s">
        <v>897</v>
      </c>
      <c r="C199" s="1102" t="s">
        <v>898</v>
      </c>
      <c r="D199" s="1103"/>
      <c r="E199" s="1104"/>
    </row>
    <row r="200" spans="1:5" ht="38.25" x14ac:dyDescent="0.2">
      <c r="A200" s="1222">
        <v>45251</v>
      </c>
      <c r="B200" s="1262" t="s">
        <v>517</v>
      </c>
      <c r="C200" s="1087" t="s">
        <v>902</v>
      </c>
      <c r="D200" s="1125" t="s">
        <v>899</v>
      </c>
      <c r="E200" s="1105"/>
    </row>
    <row r="201" spans="1:5" ht="38.25" x14ac:dyDescent="0.2">
      <c r="A201" s="1260"/>
      <c r="B201" s="1242"/>
      <c r="C201" s="1090" t="s">
        <v>903</v>
      </c>
      <c r="D201" s="1106" t="s">
        <v>900</v>
      </c>
      <c r="E201" s="1094"/>
    </row>
    <row r="202" spans="1:5" ht="38.25" x14ac:dyDescent="0.2">
      <c r="A202" s="1260"/>
      <c r="B202" s="1242"/>
      <c r="C202" s="1090" t="s">
        <v>904</v>
      </c>
      <c r="D202" s="1106" t="s">
        <v>901</v>
      </c>
      <c r="E202" s="1094"/>
    </row>
    <row r="203" spans="1:5" x14ac:dyDescent="0.2">
      <c r="A203" s="1260"/>
      <c r="B203" s="1242" t="s">
        <v>562</v>
      </c>
      <c r="C203" s="1090" t="s">
        <v>907</v>
      </c>
      <c r="D203" s="1106" t="s">
        <v>906</v>
      </c>
      <c r="E203" s="1094"/>
    </row>
    <row r="204" spans="1:5" x14ac:dyDescent="0.2">
      <c r="A204" s="1260"/>
      <c r="B204" s="1242"/>
      <c r="C204" s="1090" t="s">
        <v>908</v>
      </c>
      <c r="D204" s="1106" t="s">
        <v>924</v>
      </c>
      <c r="E204" s="1094"/>
    </row>
    <row r="205" spans="1:5" ht="38.25" x14ac:dyDescent="0.2">
      <c r="A205" s="1260"/>
      <c r="B205" s="1242" t="s">
        <v>517</v>
      </c>
      <c r="C205" s="1090" t="s">
        <v>827</v>
      </c>
      <c r="D205" s="1095" t="s">
        <v>909</v>
      </c>
      <c r="E205" s="1095" t="s">
        <v>910</v>
      </c>
    </row>
    <row r="206" spans="1:5" ht="51" x14ac:dyDescent="0.2">
      <c r="A206" s="1260"/>
      <c r="B206" s="1242"/>
      <c r="C206" s="1090" t="s">
        <v>832</v>
      </c>
      <c r="D206" s="1095" t="s">
        <v>911</v>
      </c>
      <c r="E206" s="1095" t="s">
        <v>914</v>
      </c>
    </row>
    <row r="207" spans="1:5" ht="51" x14ac:dyDescent="0.2">
      <c r="A207" s="1260"/>
      <c r="B207" s="1242"/>
      <c r="C207" s="1090" t="s">
        <v>836</v>
      </c>
      <c r="D207" s="1095" t="s">
        <v>912</v>
      </c>
      <c r="E207" s="1095" t="s">
        <v>914</v>
      </c>
    </row>
    <row r="208" spans="1:5" ht="51" x14ac:dyDescent="0.2">
      <c r="A208" s="1260"/>
      <c r="B208" s="1242"/>
      <c r="C208" s="1090" t="s">
        <v>839</v>
      </c>
      <c r="D208" s="1095" t="s">
        <v>913</v>
      </c>
      <c r="E208" s="1095" t="s">
        <v>914</v>
      </c>
    </row>
    <row r="209" spans="1:5" ht="25.5" x14ac:dyDescent="0.2">
      <c r="A209" s="1223"/>
      <c r="B209" s="1104" t="s">
        <v>606</v>
      </c>
      <c r="C209" s="1104" t="s">
        <v>739</v>
      </c>
      <c r="D209" s="1103" t="s">
        <v>905</v>
      </c>
      <c r="E209" s="1103" t="s">
        <v>910</v>
      </c>
    </row>
    <row r="210" spans="1:5" ht="38.25" x14ac:dyDescent="0.2">
      <c r="A210" s="1222">
        <v>45253</v>
      </c>
      <c r="B210" s="1105" t="s">
        <v>918</v>
      </c>
      <c r="C210" s="1087" t="s">
        <v>880</v>
      </c>
      <c r="D210" s="1105" t="s">
        <v>915</v>
      </c>
      <c r="E210" s="1107" t="s">
        <v>916</v>
      </c>
    </row>
    <row r="211" spans="1:5" ht="25.5" x14ac:dyDescent="0.2">
      <c r="A211" s="1223"/>
      <c r="B211" s="1104" t="s">
        <v>562</v>
      </c>
      <c r="C211" s="1102" t="s">
        <v>631</v>
      </c>
      <c r="D211" s="1103" t="s">
        <v>919</v>
      </c>
      <c r="E211" s="1104"/>
    </row>
    <row r="212" spans="1:5" x14ac:dyDescent="0.2">
      <c r="A212" s="1211">
        <v>45608</v>
      </c>
      <c r="B212" s="1212" t="s">
        <v>641</v>
      </c>
      <c r="C212" s="1213" t="s">
        <v>724</v>
      </c>
      <c r="D212" s="1214" t="s">
        <v>929</v>
      </c>
      <c r="E212" s="1215"/>
    </row>
    <row r="213" spans="1:5" x14ac:dyDescent="0.2">
      <c r="A213" s="1216"/>
      <c r="B213" s="1215"/>
      <c r="C213" s="1213" t="s">
        <v>930</v>
      </c>
      <c r="D213" s="1214" t="s">
        <v>931</v>
      </c>
      <c r="E213" s="1215"/>
    </row>
    <row r="214" spans="1:5" ht="25.5" x14ac:dyDescent="0.2">
      <c r="A214" s="1216"/>
      <c r="B214" s="1215"/>
      <c r="C214" s="1213" t="s">
        <v>1014</v>
      </c>
      <c r="D214" s="1214" t="s">
        <v>1015</v>
      </c>
      <c r="E214" s="1215"/>
    </row>
    <row r="215" spans="1:5" x14ac:dyDescent="0.2">
      <c r="A215" s="1216"/>
      <c r="B215" s="1215" t="s">
        <v>933</v>
      </c>
      <c r="C215" s="1213" t="s">
        <v>774</v>
      </c>
      <c r="D215" s="1215" t="s">
        <v>934</v>
      </c>
      <c r="E215" s="1215"/>
    </row>
    <row r="216" spans="1:5" x14ac:dyDescent="0.2">
      <c r="A216" s="1216"/>
      <c r="B216" s="1215"/>
      <c r="C216" s="1213" t="s">
        <v>935</v>
      </c>
      <c r="D216" s="1215" t="s">
        <v>936</v>
      </c>
      <c r="E216" s="1215"/>
    </row>
    <row r="217" spans="1:5" x14ac:dyDescent="0.2">
      <c r="A217" s="1216"/>
      <c r="B217" s="1215"/>
      <c r="C217" s="1213" t="s">
        <v>937</v>
      </c>
      <c r="D217" s="1215" t="s">
        <v>938</v>
      </c>
      <c r="E217" s="1215"/>
    </row>
    <row r="218" spans="1:5" x14ac:dyDescent="0.2">
      <c r="A218" s="1216"/>
      <c r="B218" s="1215"/>
      <c r="C218" s="1213" t="s">
        <v>657</v>
      </c>
      <c r="D218" s="1217">
        <v>6.4000000000000003E-3</v>
      </c>
      <c r="E218" s="1215"/>
    </row>
    <row r="219" spans="1:5" x14ac:dyDescent="0.2">
      <c r="A219" s="1216"/>
      <c r="B219" s="1215"/>
      <c r="C219" s="1213" t="s">
        <v>940</v>
      </c>
      <c r="D219" s="1215" t="s">
        <v>941</v>
      </c>
      <c r="E219" s="1215"/>
    </row>
    <row r="220" spans="1:5" x14ac:dyDescent="0.2">
      <c r="A220" s="1216"/>
      <c r="B220" s="1215"/>
      <c r="C220" s="1213" t="s">
        <v>945</v>
      </c>
      <c r="D220" s="1215" t="s">
        <v>946</v>
      </c>
      <c r="E220" s="1215"/>
    </row>
    <row r="221" spans="1:5" x14ac:dyDescent="0.2">
      <c r="A221" s="1216"/>
      <c r="B221" s="1215"/>
      <c r="C221" s="1213" t="s">
        <v>955</v>
      </c>
      <c r="D221" s="1215" t="s">
        <v>951</v>
      </c>
      <c r="E221" s="1215"/>
    </row>
    <row r="222" spans="1:5" x14ac:dyDescent="0.2">
      <c r="A222" s="1216"/>
      <c r="B222" s="1215"/>
      <c r="C222" s="1213" t="s">
        <v>956</v>
      </c>
      <c r="D222" s="1215" t="s">
        <v>952</v>
      </c>
      <c r="E222" s="1215"/>
    </row>
    <row r="223" spans="1:5" x14ac:dyDescent="0.2">
      <c r="A223" s="1216"/>
      <c r="B223" s="1215"/>
      <c r="C223" s="1213" t="s">
        <v>772</v>
      </c>
      <c r="D223" s="1218">
        <v>18.5</v>
      </c>
      <c r="E223" s="1215"/>
    </row>
    <row r="224" spans="1:5" x14ac:dyDescent="0.2">
      <c r="A224" s="1216"/>
      <c r="B224" s="1215"/>
      <c r="C224" s="1213" t="s">
        <v>957</v>
      </c>
      <c r="D224" s="1218">
        <v>21</v>
      </c>
      <c r="E224" s="1215"/>
    </row>
    <row r="225" spans="1:5" x14ac:dyDescent="0.2">
      <c r="A225" s="1216"/>
      <c r="B225" s="1215"/>
      <c r="C225" s="1213" t="s">
        <v>973</v>
      </c>
      <c r="D225" s="1215" t="s">
        <v>974</v>
      </c>
      <c r="E225" s="1215"/>
    </row>
    <row r="226" spans="1:5" x14ac:dyDescent="0.2">
      <c r="A226" s="1216"/>
      <c r="B226" s="1215" t="s">
        <v>517</v>
      </c>
      <c r="C226" s="1215" t="s">
        <v>843</v>
      </c>
      <c r="D226" s="1215" t="s">
        <v>939</v>
      </c>
      <c r="E226" s="1215"/>
    </row>
    <row r="227" spans="1:5" x14ac:dyDescent="0.2">
      <c r="A227" s="1216"/>
      <c r="B227" s="1215"/>
      <c r="C227" s="1215" t="s">
        <v>976</v>
      </c>
      <c r="D227" s="1219">
        <v>24.35</v>
      </c>
      <c r="E227" s="1215"/>
    </row>
    <row r="228" spans="1:5" x14ac:dyDescent="0.2">
      <c r="A228" s="1216"/>
      <c r="B228" s="1215"/>
      <c r="C228" s="1215" t="s">
        <v>977</v>
      </c>
      <c r="D228" s="1219">
        <v>19.97</v>
      </c>
      <c r="E228" s="1215"/>
    </row>
    <row r="229" spans="1:5" x14ac:dyDescent="0.2">
      <c r="A229" s="1216"/>
      <c r="B229" s="1215"/>
      <c r="C229" s="1215" t="s">
        <v>978</v>
      </c>
      <c r="D229" s="1219">
        <v>18.72</v>
      </c>
      <c r="E229" s="1215"/>
    </row>
    <row r="230" spans="1:5" x14ac:dyDescent="0.2">
      <c r="A230" s="1216"/>
      <c r="B230" s="1215"/>
      <c r="C230" s="1215" t="s">
        <v>1011</v>
      </c>
      <c r="D230" s="1215" t="s">
        <v>979</v>
      </c>
      <c r="E230" s="1215"/>
    </row>
    <row r="231" spans="1:5" x14ac:dyDescent="0.2">
      <c r="A231" s="1216"/>
      <c r="B231" s="1215"/>
      <c r="C231" s="1215" t="s">
        <v>1013</v>
      </c>
      <c r="D231" s="1215" t="s">
        <v>1012</v>
      </c>
      <c r="E231" s="1215"/>
    </row>
    <row r="232" spans="1:5" x14ac:dyDescent="0.2">
      <c r="A232" s="1216"/>
      <c r="B232" s="1215"/>
      <c r="C232" s="1215" t="s">
        <v>995</v>
      </c>
      <c r="D232" s="1215" t="s">
        <v>996</v>
      </c>
      <c r="E232" s="1215"/>
    </row>
    <row r="233" spans="1:5" x14ac:dyDescent="0.2">
      <c r="A233" s="1216"/>
      <c r="B233" s="1215"/>
      <c r="C233" s="1215" t="s">
        <v>982</v>
      </c>
      <c r="D233" s="1215" t="s">
        <v>983</v>
      </c>
      <c r="E233" s="1215"/>
    </row>
    <row r="234" spans="1:5" x14ac:dyDescent="0.2">
      <c r="A234" s="1216"/>
      <c r="B234" s="1215"/>
      <c r="C234" s="1215" t="s">
        <v>984</v>
      </c>
      <c r="D234" s="1215" t="s">
        <v>985</v>
      </c>
      <c r="E234" s="1215"/>
    </row>
    <row r="235" spans="1:5" x14ac:dyDescent="0.2">
      <c r="A235" s="1216"/>
      <c r="B235" s="1215"/>
      <c r="C235" s="1215" t="s">
        <v>832</v>
      </c>
      <c r="D235" s="1215" t="s">
        <v>986</v>
      </c>
      <c r="E235" s="1215"/>
    </row>
    <row r="236" spans="1:5" x14ac:dyDescent="0.2">
      <c r="A236" s="1216"/>
      <c r="B236" s="1215"/>
      <c r="C236" s="1215" t="s">
        <v>836</v>
      </c>
      <c r="D236" s="1215" t="s">
        <v>987</v>
      </c>
      <c r="E236" s="1215"/>
    </row>
    <row r="237" spans="1:5" x14ac:dyDescent="0.2">
      <c r="A237" s="1216"/>
      <c r="B237" s="1215"/>
      <c r="C237" s="1215" t="s">
        <v>839</v>
      </c>
      <c r="D237" s="1215" t="s">
        <v>988</v>
      </c>
      <c r="E237" s="1215"/>
    </row>
    <row r="238" spans="1:5" x14ac:dyDescent="0.2">
      <c r="A238" s="1216"/>
      <c r="B238" s="1215"/>
      <c r="C238" s="1215" t="s">
        <v>990</v>
      </c>
      <c r="D238" s="1215" t="s">
        <v>989</v>
      </c>
      <c r="E238" s="1215"/>
    </row>
    <row r="239" spans="1:5" x14ac:dyDescent="0.2">
      <c r="A239" s="1216"/>
      <c r="B239" s="1215"/>
      <c r="C239" s="1215" t="s">
        <v>991</v>
      </c>
      <c r="D239" s="1215" t="s">
        <v>993</v>
      </c>
      <c r="E239" s="1215"/>
    </row>
    <row r="240" spans="1:5" x14ac:dyDescent="0.2">
      <c r="A240" s="1216"/>
      <c r="B240" s="1215"/>
      <c r="C240" s="1215" t="s">
        <v>992</v>
      </c>
      <c r="D240" s="1215" t="s">
        <v>994</v>
      </c>
      <c r="E240" s="1215"/>
    </row>
    <row r="241" spans="1:5" x14ac:dyDescent="0.2">
      <c r="A241" s="1216"/>
      <c r="B241" s="1215"/>
      <c r="C241" s="1215" t="s">
        <v>1018</v>
      </c>
      <c r="D241" s="1215" t="s">
        <v>1019</v>
      </c>
      <c r="E241" s="1215"/>
    </row>
    <row r="242" spans="1:5" x14ac:dyDescent="0.2">
      <c r="A242" s="1216"/>
      <c r="B242" s="1215"/>
      <c r="C242" s="1215" t="s">
        <v>1020</v>
      </c>
      <c r="D242" s="1215" t="s">
        <v>1021</v>
      </c>
      <c r="E242" s="1215"/>
    </row>
    <row r="243" spans="1:5" x14ac:dyDescent="0.2">
      <c r="A243" s="1216"/>
      <c r="B243" s="1215" t="s">
        <v>562</v>
      </c>
      <c r="C243" s="1215" t="s">
        <v>947</v>
      </c>
      <c r="D243" s="1215" t="s">
        <v>948</v>
      </c>
      <c r="E243" s="1215"/>
    </row>
    <row r="244" spans="1:5" x14ac:dyDescent="0.2">
      <c r="A244" s="1216"/>
      <c r="B244" s="1215"/>
      <c r="C244" s="1215" t="s">
        <v>949</v>
      </c>
      <c r="D244" s="1215" t="s">
        <v>950</v>
      </c>
      <c r="E244" s="1215"/>
    </row>
    <row r="245" spans="1:5" x14ac:dyDescent="0.2">
      <c r="A245" s="1216"/>
      <c r="B245" s="1215"/>
      <c r="C245" s="1215" t="s">
        <v>953</v>
      </c>
      <c r="D245" s="1215" t="s">
        <v>954</v>
      </c>
      <c r="E245" s="1215"/>
    </row>
    <row r="246" spans="1:5" x14ac:dyDescent="0.2">
      <c r="A246" s="1216"/>
      <c r="B246" s="1215"/>
      <c r="C246" s="1215" t="s">
        <v>966</v>
      </c>
      <c r="D246" s="1215" t="s">
        <v>965</v>
      </c>
      <c r="E246" s="1215"/>
    </row>
    <row r="247" spans="1:5" x14ac:dyDescent="0.2">
      <c r="A247" s="1216"/>
      <c r="B247" s="1215"/>
      <c r="C247" s="1215" t="s">
        <v>967</v>
      </c>
      <c r="D247" s="1215" t="s">
        <v>975</v>
      </c>
      <c r="E247" s="1215"/>
    </row>
    <row r="248" spans="1:5" x14ac:dyDescent="0.2">
      <c r="A248" s="1216"/>
      <c r="B248" s="1215"/>
      <c r="C248" s="1215" t="s">
        <v>998</v>
      </c>
      <c r="D248" s="1215" t="s">
        <v>997</v>
      </c>
      <c r="E248" s="1215"/>
    </row>
    <row r="249" spans="1:5" x14ac:dyDescent="0.2">
      <c r="A249" s="1216"/>
      <c r="B249" s="1215" t="s">
        <v>1009</v>
      </c>
      <c r="C249" s="1215"/>
      <c r="D249" s="1215" t="s">
        <v>1010</v>
      </c>
      <c r="E249" s="1215"/>
    </row>
    <row r="250" spans="1:5" x14ac:dyDescent="0.2">
      <c r="A250" s="1220">
        <v>45609</v>
      </c>
      <c r="B250" s="1221" t="s">
        <v>561</v>
      </c>
      <c r="C250" s="1221" t="s">
        <v>1016</v>
      </c>
      <c r="D250" s="1221" t="s">
        <v>1017</v>
      </c>
      <c r="E250" s="1221"/>
    </row>
    <row r="251" spans="1:5" x14ac:dyDescent="0.2">
      <c r="A251" s="1216"/>
      <c r="B251" s="1215" t="s">
        <v>562</v>
      </c>
      <c r="C251" s="1215" t="s">
        <v>953</v>
      </c>
      <c r="D251" s="1215" t="s">
        <v>1023</v>
      </c>
      <c r="E251" s="1215"/>
    </row>
    <row r="252" spans="1:5" x14ac:dyDescent="0.2">
      <c r="A252" s="1216"/>
      <c r="B252" s="1215" t="s">
        <v>538</v>
      </c>
      <c r="C252" s="1215" t="s">
        <v>1024</v>
      </c>
      <c r="D252" s="1215" t="s">
        <v>1025</v>
      </c>
      <c r="E252" s="1215"/>
    </row>
    <row r="253" spans="1:5" x14ac:dyDescent="0.2">
      <c r="A253" s="1216"/>
      <c r="B253" s="1215"/>
      <c r="C253" s="1215" t="s">
        <v>1026</v>
      </c>
      <c r="D253" s="1215" t="s">
        <v>1027</v>
      </c>
      <c r="E253" s="1215"/>
    </row>
    <row r="254" spans="1:5" x14ac:dyDescent="0.2">
      <c r="A254" s="1220">
        <v>45610</v>
      </c>
      <c r="B254" s="1221" t="s">
        <v>562</v>
      </c>
      <c r="C254" s="1221" t="s">
        <v>966</v>
      </c>
      <c r="D254" s="1221" t="s">
        <v>1031</v>
      </c>
      <c r="E254" s="1221"/>
    </row>
    <row r="255" spans="1:5" x14ac:dyDescent="0.2">
      <c r="A255" s="1216"/>
      <c r="B255" s="1215" t="s">
        <v>1030</v>
      </c>
      <c r="C255" s="1215" t="s">
        <v>1029</v>
      </c>
      <c r="D255" s="1215" t="s">
        <v>1028</v>
      </c>
      <c r="E255" s="1215"/>
    </row>
    <row r="256" spans="1:5" x14ac:dyDescent="0.2">
      <c r="A256" s="1220">
        <v>45618</v>
      </c>
      <c r="B256" s="1221" t="s">
        <v>520</v>
      </c>
      <c r="C256" s="1221" t="s">
        <v>1032</v>
      </c>
      <c r="D256" s="1221"/>
      <c r="E256" s="1221"/>
    </row>
    <row r="257" spans="1:5" x14ac:dyDescent="0.2">
      <c r="A257" s="1216"/>
      <c r="B257" s="1215" t="s">
        <v>538</v>
      </c>
      <c r="C257" s="1215" t="s">
        <v>1036</v>
      </c>
      <c r="D257" s="1215" t="s">
        <v>1037</v>
      </c>
      <c r="E257" s="1215"/>
    </row>
    <row r="258" spans="1:5" x14ac:dyDescent="0.2">
      <c r="A258" s="1216"/>
      <c r="B258" s="1215" t="s">
        <v>517</v>
      </c>
      <c r="C258" s="1215" t="s">
        <v>1048</v>
      </c>
      <c r="D258" s="1215" t="s">
        <v>1049</v>
      </c>
      <c r="E258" s="1215"/>
    </row>
    <row r="259" spans="1:5" x14ac:dyDescent="0.2">
      <c r="A259" s="1216"/>
      <c r="B259" s="1215" t="s">
        <v>606</v>
      </c>
      <c r="C259" s="1215" t="s">
        <v>1052</v>
      </c>
      <c r="D259" s="1215" t="s">
        <v>1053</v>
      </c>
      <c r="E259" s="1215"/>
    </row>
    <row r="260" spans="1:5" x14ac:dyDescent="0.2">
      <c r="A260" s="1220">
        <v>45621</v>
      </c>
      <c r="B260" s="1221" t="s">
        <v>520</v>
      </c>
      <c r="C260" s="1221" t="s">
        <v>1054</v>
      </c>
      <c r="D260" s="1221"/>
      <c r="E260" s="1221"/>
    </row>
    <row r="261" spans="1:5" x14ac:dyDescent="0.2">
      <c r="A261" s="1216"/>
      <c r="B261" s="1215" t="s">
        <v>1055</v>
      </c>
      <c r="C261" s="1215" t="s">
        <v>1056</v>
      </c>
      <c r="D261" s="1215"/>
      <c r="E261" s="1215"/>
    </row>
    <row r="262" spans="1:5" x14ac:dyDescent="0.2">
      <c r="A262" s="1206"/>
      <c r="B262" s="669"/>
      <c r="C262" s="669"/>
      <c r="D262" s="669"/>
      <c r="E262" s="1210"/>
    </row>
    <row r="263" spans="1:5" x14ac:dyDescent="0.2">
      <c r="A263" s="1206"/>
      <c r="B263" s="669"/>
      <c r="C263" s="669"/>
      <c r="D263" s="669"/>
      <c r="E263" s="1210"/>
    </row>
    <row r="264" spans="1:5" x14ac:dyDescent="0.2">
      <c r="A264" s="1206"/>
      <c r="B264" s="669"/>
      <c r="C264" s="669"/>
      <c r="D264" s="669"/>
      <c r="E264" s="1210"/>
    </row>
  </sheetData>
  <sheetProtection algorithmName="SHA-512" hashValue="TPJ5985JrbcgwPH/Fy8uq6kzopSTiufu1CMGqjeXouglCSOW7BwYc77POEkWkIX1h6s4ZYPVOLrhfvjYTrA5gw==" saltValue="b8MRbNE6Bbpg5pib3vUS7A==" spinCount="100000" sheet="1" objects="1" scenarios="1"/>
  <mergeCells count="50">
    <mergeCell ref="A2:E2"/>
    <mergeCell ref="E7:E10"/>
    <mergeCell ref="C84:C85"/>
    <mergeCell ref="C86:C87"/>
    <mergeCell ref="B84:B97"/>
    <mergeCell ref="C88:C89"/>
    <mergeCell ref="C90:C91"/>
    <mergeCell ref="C92:C93"/>
    <mergeCell ref="C94:C95"/>
    <mergeCell ref="C96:C97"/>
    <mergeCell ref="E84:E97"/>
    <mergeCell ref="A84:A111"/>
    <mergeCell ref="B106:B107"/>
    <mergeCell ref="E98:E99"/>
    <mergeCell ref="C98:C99"/>
    <mergeCell ref="B104:B105"/>
    <mergeCell ref="A112:A115"/>
    <mergeCell ref="C114:C115"/>
    <mergeCell ref="A200:A209"/>
    <mergeCell ref="A144:A199"/>
    <mergeCell ref="B200:B202"/>
    <mergeCell ref="C104:C105"/>
    <mergeCell ref="B98:B101"/>
    <mergeCell ref="C102:C103"/>
    <mergeCell ref="B102:B103"/>
    <mergeCell ref="E100:E115"/>
    <mergeCell ref="B110:B111"/>
    <mergeCell ref="C108:C109"/>
    <mergeCell ref="C110:C111"/>
    <mergeCell ref="C112:C113"/>
    <mergeCell ref="C100:C101"/>
    <mergeCell ref="C106:C107"/>
    <mergeCell ref="B108:B109"/>
    <mergeCell ref="B112:B115"/>
    <mergeCell ref="A210:A211"/>
    <mergeCell ref="E116:E120"/>
    <mergeCell ref="C122:C123"/>
    <mergeCell ref="B122:B123"/>
    <mergeCell ref="A116:A123"/>
    <mergeCell ref="B116:B120"/>
    <mergeCell ref="A124:A137"/>
    <mergeCell ref="E126:E137"/>
    <mergeCell ref="B133:B136"/>
    <mergeCell ref="B128:B132"/>
    <mergeCell ref="B126:B127"/>
    <mergeCell ref="E124:E125"/>
    <mergeCell ref="C124:C125"/>
    <mergeCell ref="B124:B125"/>
    <mergeCell ref="B203:B204"/>
    <mergeCell ref="B205:B208"/>
  </mergeCells>
  <phoneticPr fontId="69" type="noConversion"/>
  <pageMargins left="0.70866141732283472" right="0.70866141732283472" top="0.78740157480314965" bottom="0.78740157480314965" header="0.31496062992125984" footer="0.31496062992125984"/>
  <pageSetup paperSize="9" scale="73" fitToHeight="10" orientation="landscape"/>
  <headerFooter>
    <oddFooter>&amp;LVersion 25.11.2024&amp;CVerhandlungsunterlagen SGB XI (vereinfacht B1)&amp;RPSK-Beschluss vom 07.11.2024</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61"/>
  <sheetViews>
    <sheetView zoomScaleNormal="100" workbookViewId="0">
      <selection activeCell="E7" sqref="E7"/>
    </sheetView>
  </sheetViews>
  <sheetFormatPr baseColWidth="10" defaultColWidth="10" defaultRowHeight="14.25" x14ac:dyDescent="0.2"/>
  <cols>
    <col min="1" max="3" width="10" style="772"/>
    <col min="4" max="4" width="10.125" style="772" customWidth="1"/>
    <col min="5" max="5" width="2.875" style="772" customWidth="1"/>
    <col min="6" max="6" width="2" style="772" customWidth="1"/>
    <col min="7" max="7" width="10.625" style="772" customWidth="1"/>
    <col min="8" max="8" width="10" style="772"/>
    <col min="9" max="9" width="11.5" style="772" customWidth="1"/>
    <col min="10" max="14" width="10" style="772" customWidth="1"/>
    <col min="15" max="16384" width="10" style="772"/>
  </cols>
  <sheetData>
    <row r="1" spans="1:19" x14ac:dyDescent="0.2">
      <c r="A1" s="1501" t="s">
        <v>168</v>
      </c>
      <c r="B1" s="1502"/>
      <c r="C1" s="1502"/>
      <c r="D1" s="1502"/>
      <c r="E1" s="1502"/>
      <c r="F1" s="1502"/>
      <c r="G1" s="1502"/>
      <c r="H1" s="1502"/>
      <c r="I1" s="1503"/>
      <c r="J1" s="781"/>
    </row>
    <row r="2" spans="1:19" x14ac:dyDescent="0.2">
      <c r="A2" s="1504"/>
      <c r="B2" s="1505"/>
      <c r="C2" s="1505"/>
      <c r="D2" s="1505"/>
      <c r="E2" s="1505"/>
      <c r="F2" s="1505"/>
      <c r="G2" s="1505"/>
      <c r="H2" s="1505"/>
      <c r="I2" s="1506"/>
      <c r="J2" s="786"/>
    </row>
    <row r="3" spans="1:19" x14ac:dyDescent="0.2">
      <c r="A3" s="1504"/>
      <c r="B3" s="1505"/>
      <c r="C3" s="1505"/>
      <c r="D3" s="1505"/>
      <c r="E3" s="1505"/>
      <c r="F3" s="1505"/>
      <c r="G3" s="1505"/>
      <c r="H3" s="1505"/>
      <c r="I3" s="1506"/>
      <c r="J3" s="787"/>
    </row>
    <row r="4" spans="1:19" x14ac:dyDescent="0.2">
      <c r="A4" s="1507"/>
      <c r="B4" s="1508"/>
      <c r="C4" s="1508"/>
      <c r="D4" s="1508"/>
      <c r="E4" s="1508"/>
      <c r="F4" s="1508"/>
      <c r="G4" s="1508"/>
      <c r="H4" s="1508"/>
      <c r="I4" s="1509"/>
    </row>
    <row r="5" spans="1:19" x14ac:dyDescent="0.2">
      <c r="A5" s="773" t="s">
        <v>169</v>
      </c>
      <c r="I5" s="774"/>
      <c r="J5" s="773"/>
    </row>
    <row r="6" spans="1:19" x14ac:dyDescent="0.2">
      <c r="A6" s="275" t="s">
        <v>894</v>
      </c>
      <c r="I6" s="774"/>
      <c r="J6" s="773"/>
      <c r="K6" s="775"/>
      <c r="L6" s="775"/>
      <c r="M6" s="775"/>
      <c r="N6" s="775"/>
      <c r="O6" s="775"/>
      <c r="P6" s="775"/>
      <c r="Q6" s="775"/>
      <c r="R6" s="775"/>
      <c r="S6" s="775"/>
    </row>
    <row r="7" spans="1:19" x14ac:dyDescent="0.2">
      <c r="A7" s="275" t="s">
        <v>895</v>
      </c>
      <c r="E7" s="93"/>
      <c r="I7" s="774"/>
      <c r="J7" s="773"/>
    </row>
    <row r="8" spans="1:19" x14ac:dyDescent="0.2">
      <c r="A8" s="1126" t="s">
        <v>896</v>
      </c>
      <c r="I8" s="774"/>
      <c r="J8" s="773"/>
    </row>
    <row r="9" spans="1:19" x14ac:dyDescent="0.2">
      <c r="A9" s="773" t="s">
        <v>170</v>
      </c>
      <c r="E9" s="776" t="s">
        <v>488</v>
      </c>
      <c r="I9" s="774"/>
      <c r="J9" s="773"/>
    </row>
    <row r="10" spans="1:19" x14ac:dyDescent="0.2">
      <c r="A10" s="773" t="s">
        <v>171</v>
      </c>
      <c r="I10" s="774"/>
      <c r="J10" s="773"/>
    </row>
    <row r="11" spans="1:19" x14ac:dyDescent="0.2">
      <c r="A11" s="773"/>
      <c r="I11" s="774"/>
      <c r="J11" s="773"/>
    </row>
    <row r="12" spans="1:19" x14ac:dyDescent="0.2">
      <c r="A12" s="773" t="s">
        <v>172</v>
      </c>
      <c r="E12" s="93"/>
      <c r="I12" s="774"/>
    </row>
    <row r="13" spans="1:19" x14ac:dyDescent="0.2">
      <c r="A13" s="773" t="s">
        <v>173</v>
      </c>
      <c r="I13" s="774"/>
    </row>
    <row r="14" spans="1:19" x14ac:dyDescent="0.2">
      <c r="A14" s="773" t="s">
        <v>174</v>
      </c>
      <c r="I14" s="774"/>
    </row>
    <row r="15" spans="1:19" x14ac:dyDescent="0.2">
      <c r="A15" s="773"/>
      <c r="I15" s="774"/>
    </row>
    <row r="16" spans="1:19" x14ac:dyDescent="0.2">
      <c r="A16" s="773" t="s">
        <v>175</v>
      </c>
      <c r="E16" s="93"/>
      <c r="I16" s="774"/>
    </row>
    <row r="17" spans="1:10" x14ac:dyDescent="0.2">
      <c r="A17" s="773" t="s">
        <v>176</v>
      </c>
      <c r="I17" s="774"/>
    </row>
    <row r="18" spans="1:10" x14ac:dyDescent="0.2">
      <c r="A18" s="773" t="s">
        <v>177</v>
      </c>
      <c r="I18" s="774"/>
    </row>
    <row r="19" spans="1:10" x14ac:dyDescent="0.2">
      <c r="A19" s="773" t="s">
        <v>178</v>
      </c>
      <c r="I19" s="774"/>
    </row>
    <row r="20" spans="1:10" x14ac:dyDescent="0.2">
      <c r="A20" s="773"/>
      <c r="I20" s="774"/>
    </row>
    <row r="21" spans="1:10" x14ac:dyDescent="0.2">
      <c r="A21" s="773" t="s">
        <v>179</v>
      </c>
      <c r="E21" s="93"/>
      <c r="G21" s="163" t="s">
        <v>245</v>
      </c>
      <c r="I21" s="774"/>
      <c r="J21" s="164"/>
    </row>
    <row r="22" spans="1:10" x14ac:dyDescent="0.2">
      <c r="A22" s="773" t="s">
        <v>243</v>
      </c>
      <c r="I22" s="774"/>
      <c r="J22" s="358"/>
    </row>
    <row r="23" spans="1:10" x14ac:dyDescent="0.2">
      <c r="A23" s="275" t="s">
        <v>244</v>
      </c>
      <c r="I23" s="774"/>
      <c r="J23" s="358"/>
    </row>
    <row r="24" spans="1:10" x14ac:dyDescent="0.2">
      <c r="A24" s="773"/>
      <c r="I24" s="774"/>
    </row>
    <row r="25" spans="1:10" x14ac:dyDescent="0.2">
      <c r="A25" s="777" t="s">
        <v>180</v>
      </c>
      <c r="I25" s="774"/>
    </row>
    <row r="26" spans="1:10" x14ac:dyDescent="0.2">
      <c r="A26" s="773"/>
      <c r="I26" s="774"/>
    </row>
    <row r="27" spans="1:10" x14ac:dyDescent="0.2">
      <c r="A27" s="773" t="s">
        <v>181</v>
      </c>
      <c r="E27" s="93"/>
      <c r="I27" s="774"/>
    </row>
    <row r="28" spans="1:10" x14ac:dyDescent="0.2">
      <c r="A28" s="773" t="s">
        <v>182</v>
      </c>
      <c r="I28" s="774"/>
    </row>
    <row r="29" spans="1:10" x14ac:dyDescent="0.2">
      <c r="A29" s="773" t="s">
        <v>183</v>
      </c>
      <c r="I29" s="774"/>
    </row>
    <row r="30" spans="1:10" x14ac:dyDescent="0.2">
      <c r="A30" s="773" t="s">
        <v>184</v>
      </c>
      <c r="I30" s="774"/>
    </row>
    <row r="31" spans="1:10" x14ac:dyDescent="0.2">
      <c r="A31" s="773"/>
      <c r="I31" s="774"/>
    </row>
    <row r="32" spans="1:10" ht="18" x14ac:dyDescent="0.25">
      <c r="A32" s="777" t="s">
        <v>185</v>
      </c>
      <c r="D32" s="778"/>
      <c r="G32" s="849"/>
      <c r="I32" s="774"/>
      <c r="J32" s="787"/>
    </row>
    <row r="33" spans="1:9" x14ac:dyDescent="0.2">
      <c r="A33" s="773"/>
      <c r="I33" s="774"/>
    </row>
    <row r="34" spans="1:9" x14ac:dyDescent="0.2">
      <c r="A34" s="773" t="s">
        <v>186</v>
      </c>
      <c r="E34" s="93"/>
      <c r="G34" s="1181" t="s">
        <v>999</v>
      </c>
      <c r="I34" s="774"/>
    </row>
    <row r="35" spans="1:9" x14ac:dyDescent="0.2">
      <c r="A35" s="773" t="s">
        <v>187</v>
      </c>
      <c r="G35" s="252"/>
      <c r="I35" s="774"/>
    </row>
    <row r="36" spans="1:9" x14ac:dyDescent="0.2">
      <c r="A36" s="773" t="s">
        <v>188</v>
      </c>
      <c r="I36" s="774"/>
    </row>
    <row r="37" spans="1:9" x14ac:dyDescent="0.2">
      <c r="A37" s="773"/>
      <c r="I37" s="774"/>
    </row>
    <row r="38" spans="1:9" x14ac:dyDescent="0.2">
      <c r="A38" s="773" t="s">
        <v>1000</v>
      </c>
      <c r="E38" s="93"/>
      <c r="G38" s="1189" t="s">
        <v>1006</v>
      </c>
      <c r="I38" s="774"/>
    </row>
    <row r="39" spans="1:9" x14ac:dyDescent="0.2">
      <c r="A39" s="773" t="s">
        <v>1001</v>
      </c>
      <c r="G39" s="1189" t="s">
        <v>1007</v>
      </c>
      <c r="I39" s="774"/>
    </row>
    <row r="40" spans="1:9" x14ac:dyDescent="0.2">
      <c r="A40" s="773" t="s">
        <v>1002</v>
      </c>
      <c r="G40" s="1181" t="s">
        <v>1008</v>
      </c>
      <c r="I40" s="774"/>
    </row>
    <row r="41" spans="1:9" x14ac:dyDescent="0.2">
      <c r="A41" s="773" t="s">
        <v>1003</v>
      </c>
      <c r="G41" s="781"/>
      <c r="H41" s="781"/>
      <c r="I41" s="782"/>
    </row>
    <row r="42" spans="1:9" x14ac:dyDescent="0.2">
      <c r="A42" s="773"/>
      <c r="G42" s="781"/>
      <c r="H42" s="781"/>
      <c r="I42" s="782"/>
    </row>
    <row r="43" spans="1:9" x14ac:dyDescent="0.2">
      <c r="A43" s="1182" t="s">
        <v>1004</v>
      </c>
      <c r="B43" s="1183"/>
      <c r="C43" s="1184"/>
      <c r="G43" s="781"/>
      <c r="H43" s="781"/>
      <c r="I43" s="782"/>
    </row>
    <row r="44" spans="1:9" x14ac:dyDescent="0.2">
      <c r="A44" s="1204" t="s">
        <v>1005</v>
      </c>
      <c r="B44" s="1185"/>
      <c r="C44" s="1186"/>
      <c r="G44" s="781"/>
      <c r="H44" s="781"/>
      <c r="I44" s="782"/>
    </row>
    <row r="45" spans="1:9" x14ac:dyDescent="0.2">
      <c r="A45" s="1204" t="s">
        <v>193</v>
      </c>
      <c r="B45" s="1185"/>
      <c r="C45" s="1186"/>
      <c r="G45" s="781"/>
      <c r="H45" s="781"/>
      <c r="I45" s="782"/>
    </row>
    <row r="46" spans="1:9" x14ac:dyDescent="0.2">
      <c r="A46" s="1204" t="s">
        <v>189</v>
      </c>
      <c r="B46" s="1185"/>
      <c r="C46" s="1186"/>
      <c r="G46" s="781"/>
      <c r="H46" s="781"/>
      <c r="I46" s="782"/>
    </row>
    <row r="47" spans="1:9" x14ac:dyDescent="0.2">
      <c r="A47" s="1204" t="s">
        <v>190</v>
      </c>
      <c r="B47" s="1185"/>
      <c r="C47" s="1186"/>
      <c r="G47" s="781"/>
      <c r="H47" s="781"/>
      <c r="I47" s="782"/>
    </row>
    <row r="48" spans="1:9" x14ac:dyDescent="0.2">
      <c r="A48" s="1204" t="s">
        <v>194</v>
      </c>
      <c r="B48" s="1185"/>
      <c r="C48" s="1186"/>
      <c r="G48" s="781"/>
      <c r="H48" s="781"/>
      <c r="I48" s="782"/>
    </row>
    <row r="49" spans="1:9" x14ac:dyDescent="0.2">
      <c r="A49" s="1205" t="s">
        <v>195</v>
      </c>
      <c r="B49" s="1187"/>
      <c r="C49" s="1188"/>
      <c r="G49" s="781"/>
      <c r="H49" s="781"/>
      <c r="I49" s="782"/>
    </row>
    <row r="50" spans="1:9" x14ac:dyDescent="0.2">
      <c r="A50" s="773"/>
      <c r="G50" s="781"/>
      <c r="H50" s="781"/>
      <c r="I50" s="782"/>
    </row>
    <row r="51" spans="1:9" x14ac:dyDescent="0.2">
      <c r="A51" s="1510" t="s">
        <v>191</v>
      </c>
      <c r="B51" s="1511"/>
      <c r="C51" s="1511"/>
      <c r="E51" s="98"/>
      <c r="I51" s="774"/>
    </row>
    <row r="52" spans="1:9" x14ac:dyDescent="0.2">
      <c r="A52" s="773" t="s">
        <v>192</v>
      </c>
      <c r="I52" s="774"/>
    </row>
    <row r="53" spans="1:9" x14ac:dyDescent="0.2">
      <c r="A53" s="275" t="s">
        <v>524</v>
      </c>
      <c r="I53" s="774"/>
    </row>
    <row r="54" spans="1:9" x14ac:dyDescent="0.2">
      <c r="A54" s="275" t="s">
        <v>525</v>
      </c>
      <c r="I54" s="774"/>
    </row>
    <row r="55" spans="1:9" x14ac:dyDescent="0.2">
      <c r="A55" s="773"/>
      <c r="D55" s="94"/>
      <c r="E55" s="94"/>
      <c r="F55" s="94"/>
      <c r="G55" s="94"/>
      <c r="I55" s="774"/>
    </row>
    <row r="56" spans="1:9" ht="15" x14ac:dyDescent="0.25">
      <c r="A56" s="783"/>
      <c r="D56" s="94"/>
      <c r="E56" s="94"/>
      <c r="F56" s="94"/>
      <c r="G56" s="94"/>
      <c r="I56" s="774"/>
    </row>
    <row r="57" spans="1:9" ht="59.25" hidden="1" x14ac:dyDescent="0.75">
      <c r="A57" s="773"/>
      <c r="D57" s="94"/>
      <c r="E57" s="94"/>
      <c r="F57" s="94"/>
      <c r="G57" s="94"/>
      <c r="I57" s="784"/>
    </row>
    <row r="58" spans="1:9" x14ac:dyDescent="0.2">
      <c r="A58" s="777"/>
      <c r="B58" s="781"/>
      <c r="C58" s="781"/>
      <c r="D58" s="95"/>
      <c r="E58" s="96"/>
      <c r="F58" s="94"/>
      <c r="G58" s="97"/>
      <c r="I58" s="774"/>
    </row>
    <row r="59" spans="1:9" x14ac:dyDescent="0.2">
      <c r="A59" s="773"/>
      <c r="D59" s="94"/>
      <c r="E59" s="94"/>
      <c r="F59" s="94"/>
      <c r="G59" s="94"/>
      <c r="I59" s="774"/>
    </row>
    <row r="60" spans="1:9" x14ac:dyDescent="0.2">
      <c r="A60" s="773"/>
      <c r="I60" s="774"/>
    </row>
    <row r="61" spans="1:9" x14ac:dyDescent="0.2">
      <c r="A61" s="785"/>
      <c r="B61" s="779"/>
      <c r="C61" s="779"/>
      <c r="D61" s="779"/>
      <c r="E61" s="779"/>
      <c r="F61" s="779"/>
      <c r="G61" s="779"/>
      <c r="H61" s="779"/>
      <c r="I61" s="780"/>
    </row>
  </sheetData>
  <sheetProtection algorithmName="SHA-512" hashValue="YvhpSlk41/TGEHZB1Dy7aDCXKG1k4HzfcuG/SVRxCePNHNPUq50NGbITZgDpU/Jz4P1E7FwMzbkP+WKDcHJEQg==" saltValue="Ou1MLz4+CZpOnJ3+6w03HQ==" spinCount="100000" sheet="1" objects="1" scenarios="1"/>
  <customSheetViews>
    <customSheetView guid="{9119B1A0-FD79-4FE4-B78E-10E0AEB8080B}" showPageBreaks="1" printArea="1" hiddenRows="1" view="pageLayout" topLeftCell="A41">
      <selection activeCell="I49" sqref="I49"/>
      <pageMargins left="0.70866141732283472" right="0.70866141732283472" top="0.78740157480314965" bottom="0.78740157480314965" header="0.31496062992125984" footer="0.31496062992125984"/>
      <pageSetup paperSize="9" orientation="portrait" r:id="rId1"/>
      <headerFooter>
        <oddFooter>&amp;L&amp;8Version: 21.06.2022&amp;C&amp;8Verhandlungsunterlagen SGB XI (vereinfacht B1)&amp;R&amp;8PSK-Beschluss Nr. 3-2022 vom 21.06.2022</oddFooter>
      </headerFooter>
    </customSheetView>
  </customSheetViews>
  <mergeCells count="2">
    <mergeCell ref="A1:I4"/>
    <mergeCell ref="A51:C51"/>
  </mergeCells>
  <hyperlinks>
    <hyperlink ref="G21" r:id="rId2" xr:uid="{00000000-0004-0000-0800-000000000000}"/>
    <hyperlink ref="E9" r:id="rId3" xr:uid="{00000000-0004-0000-0800-000001000000}"/>
    <hyperlink ref="G34" r:id="rId4" xr:uid="{A242ADFB-211E-4C25-9DE9-4EAE72243CD9}"/>
    <hyperlink ref="G38" r:id="rId5" xr:uid="{C50E7043-B6DA-4CB3-9650-2CC0A9F606BE}"/>
    <hyperlink ref="G39" r:id="rId6" xr:uid="{C6537E02-930D-4247-B5F1-87EC7DF985D8}"/>
    <hyperlink ref="G40" r:id="rId7" xr:uid="{30ACE8FD-4F71-4BEF-9CB3-23A8D9849DAF}"/>
  </hyperlinks>
  <pageMargins left="0.70866141732283472" right="0.70866141732283472" top="0.78740157480314965" bottom="0.78740157480314965" header="0.31496062992125984" footer="0.31496062992125984"/>
  <pageSetup paperSize="9" scale="88" orientation="portrait"/>
  <headerFooter>
    <oddFooter>&amp;L&amp;8Version: 25.11.2024&amp;C&amp;8Verhandlungsunterlagen SGB XI (vereinfacht B1)&amp;R&amp;8PSK-Beschluss vom 07.11.2024</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45"/>
  <sheetViews>
    <sheetView workbookViewId="0">
      <selection activeCell="D44" sqref="D44"/>
    </sheetView>
  </sheetViews>
  <sheetFormatPr baseColWidth="10" defaultRowHeight="14.25" x14ac:dyDescent="0.2"/>
  <sheetData>
    <row r="1" spans="1:16" ht="15" thickBot="1" x14ac:dyDescent="0.25"/>
    <row r="2" spans="1:16" ht="15" thickBot="1" x14ac:dyDescent="0.25">
      <c r="A2" s="394" t="s">
        <v>388</v>
      </c>
      <c r="B2" s="1517">
        <v>2022</v>
      </c>
      <c r="C2" s="1518"/>
      <c r="D2" s="1519"/>
      <c r="E2" s="394" t="s">
        <v>388</v>
      </c>
      <c r="F2" s="1514" t="s">
        <v>893</v>
      </c>
      <c r="G2" s="1515"/>
      <c r="H2" s="1516"/>
      <c r="I2" s="394" t="s">
        <v>388</v>
      </c>
      <c r="J2" s="1514" t="s">
        <v>777</v>
      </c>
      <c r="K2" s="1515"/>
      <c r="L2" s="1516"/>
      <c r="M2" s="394" t="s">
        <v>388</v>
      </c>
      <c r="N2" s="1320" t="s">
        <v>932</v>
      </c>
      <c r="O2" s="1321"/>
      <c r="P2" s="1322"/>
    </row>
    <row r="3" spans="1:16" ht="15" thickBot="1" x14ac:dyDescent="0.25">
      <c r="A3" s="395" t="s">
        <v>389</v>
      </c>
      <c r="B3" s="396" t="s">
        <v>390</v>
      </c>
      <c r="C3" s="397" t="s">
        <v>391</v>
      </c>
      <c r="D3" s="406" t="s">
        <v>392</v>
      </c>
      <c r="E3" s="395" t="s">
        <v>389</v>
      </c>
      <c r="F3" s="396" t="s">
        <v>390</v>
      </c>
      <c r="G3" s="397" t="s">
        <v>391</v>
      </c>
      <c r="H3" s="406" t="s">
        <v>392</v>
      </c>
      <c r="I3" s="395" t="s">
        <v>389</v>
      </c>
      <c r="J3" s="396" t="s">
        <v>390</v>
      </c>
      <c r="K3" s="397" t="s">
        <v>391</v>
      </c>
      <c r="L3" s="406" t="s">
        <v>392</v>
      </c>
      <c r="M3" s="395" t="s">
        <v>389</v>
      </c>
      <c r="N3" s="396" t="s">
        <v>390</v>
      </c>
      <c r="O3" s="397" t="s">
        <v>391</v>
      </c>
      <c r="P3" s="406" t="s">
        <v>392</v>
      </c>
    </row>
    <row r="4" spans="1:16" x14ac:dyDescent="0.2">
      <c r="A4" s="398" t="s">
        <v>393</v>
      </c>
      <c r="B4" s="415">
        <f>(14.6+1.2)/100</f>
        <v>0.158</v>
      </c>
      <c r="C4" s="413">
        <f>B4/2</f>
        <v>7.9000000000000001E-2</v>
      </c>
      <c r="D4" s="411">
        <f>C4</f>
        <v>7.9000000000000001E-2</v>
      </c>
      <c r="E4" s="398" t="s">
        <v>393</v>
      </c>
      <c r="F4" s="415">
        <v>0.161</v>
      </c>
      <c r="G4" s="414">
        <f>F4/2</f>
        <v>8.0500000000000002E-2</v>
      </c>
      <c r="H4" s="411">
        <f>G4</f>
        <v>8.0500000000000002E-2</v>
      </c>
      <c r="I4" s="398" t="s">
        <v>393</v>
      </c>
      <c r="J4" s="415">
        <f>K4*2</f>
        <v>0.16400000000000001</v>
      </c>
      <c r="K4" s="414">
        <v>8.2000000000000003E-2</v>
      </c>
      <c r="L4" s="411">
        <f>K4</f>
        <v>8.2000000000000003E-2</v>
      </c>
      <c r="M4" s="398" t="s">
        <v>393</v>
      </c>
      <c r="N4" s="1131">
        <f>16.4%+0.8%</f>
        <v>0.17199999999999999</v>
      </c>
      <c r="O4" s="414">
        <f>N4/2</f>
        <v>8.5999999999999993E-2</v>
      </c>
      <c r="P4" s="411">
        <f>O4</f>
        <v>8.5999999999999993E-2</v>
      </c>
    </row>
    <row r="5" spans="1:16" x14ac:dyDescent="0.2">
      <c r="A5" s="399" t="s">
        <v>394</v>
      </c>
      <c r="B5" s="416">
        <v>0.186</v>
      </c>
      <c r="C5" s="414">
        <v>9.2999999999999999E-2</v>
      </c>
      <c r="D5" s="411">
        <f t="shared" ref="D5:D6" si="0">C5</f>
        <v>9.2999999999999999E-2</v>
      </c>
      <c r="E5" s="399" t="s">
        <v>394</v>
      </c>
      <c r="F5" s="416">
        <v>0.186</v>
      </c>
      <c r="G5" s="414">
        <f t="shared" ref="G5:G6" si="1">F5/2</f>
        <v>9.2999999999999999E-2</v>
      </c>
      <c r="H5" s="411">
        <f t="shared" ref="H5:H6" si="2">G5</f>
        <v>9.2999999999999999E-2</v>
      </c>
      <c r="I5" s="399" t="s">
        <v>394</v>
      </c>
      <c r="J5" s="416">
        <f>K5*2</f>
        <v>0.186</v>
      </c>
      <c r="K5" s="414">
        <v>9.2999999999999999E-2</v>
      </c>
      <c r="L5" s="411">
        <f t="shared" ref="L5:L6" si="3">K5</f>
        <v>9.2999999999999999E-2</v>
      </c>
      <c r="M5" s="399" t="s">
        <v>394</v>
      </c>
      <c r="N5" s="416">
        <f>O5*2</f>
        <v>0.186</v>
      </c>
      <c r="O5" s="414">
        <v>9.2999999999999999E-2</v>
      </c>
      <c r="P5" s="411">
        <f t="shared" ref="P5:P6" si="4">O5</f>
        <v>9.2999999999999999E-2</v>
      </c>
    </row>
    <row r="6" spans="1:16" x14ac:dyDescent="0.2">
      <c r="A6" s="399" t="s">
        <v>395</v>
      </c>
      <c r="B6" s="416">
        <v>2.5000000000000001E-2</v>
      </c>
      <c r="C6" s="414">
        <v>1.2E-2</v>
      </c>
      <c r="D6" s="411">
        <f t="shared" si="0"/>
        <v>1.2E-2</v>
      </c>
      <c r="E6" s="399" t="s">
        <v>395</v>
      </c>
      <c r="F6" s="416">
        <v>2.5999999999999999E-2</v>
      </c>
      <c r="G6" s="414">
        <f t="shared" si="1"/>
        <v>1.2999999999999999E-2</v>
      </c>
      <c r="H6" s="411">
        <f t="shared" si="2"/>
        <v>1.2999999999999999E-2</v>
      </c>
      <c r="I6" s="399" t="s">
        <v>395</v>
      </c>
      <c r="J6" s="416">
        <f>K6*2</f>
        <v>2.5999999999999999E-2</v>
      </c>
      <c r="K6" s="414">
        <v>1.2999999999999999E-2</v>
      </c>
      <c r="L6" s="411">
        <f t="shared" si="3"/>
        <v>1.2999999999999999E-2</v>
      </c>
      <c r="M6" s="399" t="s">
        <v>395</v>
      </c>
      <c r="N6" s="416">
        <f>O6*2</f>
        <v>2.5999999999999999E-2</v>
      </c>
      <c r="O6" s="414">
        <v>1.2999999999999999E-2</v>
      </c>
      <c r="P6" s="411">
        <f t="shared" si="4"/>
        <v>1.2999999999999999E-2</v>
      </c>
    </row>
    <row r="7" spans="1:16" ht="15" thickBot="1" x14ac:dyDescent="0.25">
      <c r="A7" s="399" t="s">
        <v>396</v>
      </c>
      <c r="B7" s="417">
        <f>C7+D7</f>
        <v>3.0499999999999999E-2</v>
      </c>
      <c r="C7" s="414">
        <v>1.025E-2</v>
      </c>
      <c r="D7" s="410">
        <v>2.0250000000000001E-2</v>
      </c>
      <c r="E7" s="399" t="s">
        <v>396</v>
      </c>
      <c r="F7" s="853">
        <v>3.4000000000000002E-2</v>
      </c>
      <c r="G7" s="414">
        <v>1.2E-2</v>
      </c>
      <c r="H7" s="854">
        <v>2.1999999999999999E-2</v>
      </c>
      <c r="I7" s="399" t="s">
        <v>396</v>
      </c>
      <c r="J7" s="853">
        <v>3.4000000000000002E-2</v>
      </c>
      <c r="K7" s="414">
        <v>1.2E-2</v>
      </c>
      <c r="L7" s="854">
        <v>2.1999999999999999E-2</v>
      </c>
      <c r="M7" s="399" t="s">
        <v>396</v>
      </c>
      <c r="N7" s="853">
        <f>3.4%+0.2%</f>
        <v>3.6000000000000004E-2</v>
      </c>
      <c r="O7" s="414">
        <f>1.2%+0.1%</f>
        <v>1.3000000000000001E-2</v>
      </c>
      <c r="P7" s="1135">
        <f>2.2%+0.1%</f>
        <v>2.3000000000000003E-2</v>
      </c>
    </row>
    <row r="8" spans="1:16" ht="15" thickBot="1" x14ac:dyDescent="0.25">
      <c r="A8" s="400" t="s">
        <v>397</v>
      </c>
      <c r="B8" s="408"/>
      <c r="C8" s="412">
        <f>(C7+C6+C5+C4)</f>
        <v>0.19424999999999998</v>
      </c>
      <c r="D8" s="407"/>
      <c r="E8" s="400" t="s">
        <v>397</v>
      </c>
      <c r="F8" s="408"/>
      <c r="G8" s="412">
        <f>(G7+G6+G5+G4)</f>
        <v>0.19850000000000001</v>
      </c>
      <c r="H8" s="407"/>
      <c r="I8" s="400" t="s">
        <v>397</v>
      </c>
      <c r="J8" s="408"/>
      <c r="K8" s="412">
        <f>(K7+K6+K5+K4)</f>
        <v>0.2</v>
      </c>
      <c r="L8" s="407"/>
      <c r="M8" s="400" t="s">
        <v>397</v>
      </c>
      <c r="N8" s="408"/>
      <c r="O8" s="412">
        <f>(O7+O6+O5+O4)</f>
        <v>0.20499999999999999</v>
      </c>
      <c r="P8" s="407"/>
    </row>
    <row r="9" spans="1:16" x14ac:dyDescent="0.2">
      <c r="A9" s="401" t="s">
        <v>398</v>
      </c>
      <c r="B9" s="402" t="s">
        <v>399</v>
      </c>
      <c r="C9" s="418">
        <v>8.3999999999999995E-3</v>
      </c>
      <c r="D9" s="409"/>
      <c r="E9" s="401" t="s">
        <v>398</v>
      </c>
      <c r="F9" s="402" t="s">
        <v>399</v>
      </c>
      <c r="G9" s="414">
        <v>7.9000000000000008E-3</v>
      </c>
      <c r="H9" s="409"/>
      <c r="I9" s="401" t="s">
        <v>398</v>
      </c>
      <c r="J9" s="402" t="s">
        <v>399</v>
      </c>
      <c r="K9" s="414">
        <v>7.9000000000000008E-3</v>
      </c>
      <c r="L9" s="409"/>
      <c r="M9" s="401" t="s">
        <v>398</v>
      </c>
      <c r="N9" s="402" t="s">
        <v>399</v>
      </c>
      <c r="O9" s="1132">
        <v>6.4000000000000003E-3</v>
      </c>
      <c r="P9" s="409"/>
    </row>
    <row r="10" spans="1:16" ht="15" thickBot="1" x14ac:dyDescent="0.25">
      <c r="A10" s="401" t="s">
        <v>401</v>
      </c>
      <c r="B10" s="402" t="s">
        <v>402</v>
      </c>
      <c r="C10" s="419">
        <v>1.7500000000000002E-2</v>
      </c>
      <c r="D10" s="404"/>
      <c r="E10" s="401" t="s">
        <v>401</v>
      </c>
      <c r="F10" s="402" t="s">
        <v>402</v>
      </c>
      <c r="G10" s="419">
        <v>2.1499999999999998E-2</v>
      </c>
      <c r="H10" s="404"/>
      <c r="I10" s="401" t="s">
        <v>401</v>
      </c>
      <c r="J10" s="402" t="s">
        <v>402</v>
      </c>
      <c r="K10" s="419">
        <v>2.1499999999999998E-2</v>
      </c>
      <c r="L10" s="404"/>
      <c r="M10" s="401" t="s">
        <v>401</v>
      </c>
      <c r="N10" s="402" t="s">
        <v>402</v>
      </c>
      <c r="O10" s="419">
        <v>2.1499999999999998E-2</v>
      </c>
      <c r="P10" s="404"/>
    </row>
    <row r="11" spans="1:16" ht="15" thickBot="1" x14ac:dyDescent="0.25">
      <c r="A11" s="403" t="s">
        <v>403</v>
      </c>
      <c r="B11" s="396"/>
      <c r="C11" s="420">
        <v>8.9999999999999998E-4</v>
      </c>
      <c r="D11" s="404"/>
      <c r="E11" s="403" t="s">
        <v>403</v>
      </c>
      <c r="F11" s="396"/>
      <c r="G11" s="420">
        <v>5.9999999999999995E-4</v>
      </c>
      <c r="H11" s="404"/>
      <c r="I11" s="403" t="s">
        <v>403</v>
      </c>
      <c r="J11" s="396"/>
      <c r="K11" s="420">
        <v>5.9999999999999995E-4</v>
      </c>
      <c r="L11" s="404"/>
      <c r="M11" s="403" t="s">
        <v>403</v>
      </c>
      <c r="N11" s="396"/>
      <c r="O11" s="420">
        <v>5.9999999999999995E-4</v>
      </c>
      <c r="P11" s="404"/>
    </row>
    <row r="12" spans="1:16" ht="15" thickBot="1" x14ac:dyDescent="0.25">
      <c r="A12" s="1317" t="s">
        <v>400</v>
      </c>
      <c r="B12" s="1318"/>
      <c r="C12" s="421">
        <f>(C8+C9+C11)</f>
        <v>0.20354999999999998</v>
      </c>
      <c r="D12" s="404"/>
      <c r="E12" s="1317" t="s">
        <v>400</v>
      </c>
      <c r="F12" s="1318"/>
      <c r="G12" s="421">
        <f>(G8+G9+G11)</f>
        <v>0.20699999999999999</v>
      </c>
      <c r="H12" s="404"/>
      <c r="I12" s="1317" t="s">
        <v>400</v>
      </c>
      <c r="J12" s="1318"/>
      <c r="K12" s="421">
        <f>(K8+K9+K11)</f>
        <v>0.20849999999999999</v>
      </c>
      <c r="L12" s="404"/>
      <c r="M12" s="1317" t="s">
        <v>400</v>
      </c>
      <c r="N12" s="1318"/>
      <c r="O12" s="421">
        <f>(O8+O9+O11)</f>
        <v>0.21199999999999997</v>
      </c>
      <c r="P12" s="404"/>
    </row>
    <row r="13" spans="1:16" ht="15" thickBot="1" x14ac:dyDescent="0.25">
      <c r="A13" s="1317" t="s">
        <v>404</v>
      </c>
      <c r="B13" s="1318"/>
      <c r="C13" s="421">
        <f>C12+C10</f>
        <v>0.22104999999999997</v>
      </c>
      <c r="D13" s="405"/>
      <c r="E13" s="1317" t="s">
        <v>404</v>
      </c>
      <c r="F13" s="1318"/>
      <c r="G13" s="421">
        <f>G12+G10</f>
        <v>0.22849999999999998</v>
      </c>
      <c r="H13" s="405"/>
      <c r="I13" s="1317" t="s">
        <v>404</v>
      </c>
      <c r="J13" s="1318"/>
      <c r="K13" s="421">
        <f>K12+K10</f>
        <v>0.22999999999999998</v>
      </c>
      <c r="L13" s="405"/>
      <c r="M13" s="1317" t="s">
        <v>404</v>
      </c>
      <c r="N13" s="1318"/>
      <c r="O13" s="421">
        <f>O12+O10</f>
        <v>0.23349999999999996</v>
      </c>
      <c r="P13" s="405"/>
    </row>
    <row r="15" spans="1:16" x14ac:dyDescent="0.2">
      <c r="A15" s="184" t="s">
        <v>528</v>
      </c>
      <c r="B15" s="90">
        <v>2022</v>
      </c>
      <c r="C15" s="90">
        <v>2023</v>
      </c>
      <c r="D15" s="90">
        <v>2024</v>
      </c>
      <c r="E15">
        <v>2025</v>
      </c>
    </row>
    <row r="16" spans="1:16" x14ac:dyDescent="0.2">
      <c r="A16" s="19" t="s">
        <v>407</v>
      </c>
      <c r="B16" s="829">
        <v>20.59</v>
      </c>
      <c r="C16">
        <v>21.87</v>
      </c>
      <c r="D16">
        <v>22.76</v>
      </c>
    </row>
    <row r="17" spans="1:5" x14ac:dyDescent="0.2">
      <c r="A17" s="19" t="s">
        <v>529</v>
      </c>
      <c r="B17" s="829">
        <v>17.079999999999998</v>
      </c>
      <c r="C17">
        <v>17.41</v>
      </c>
      <c r="D17">
        <v>18.440000000000001</v>
      </c>
    </row>
    <row r="18" spans="1:5" x14ac:dyDescent="0.2">
      <c r="A18" s="19" t="s">
        <v>406</v>
      </c>
      <c r="B18" s="829">
        <v>15.59</v>
      </c>
      <c r="C18">
        <v>16.48</v>
      </c>
      <c r="D18">
        <v>17.28</v>
      </c>
    </row>
    <row r="19" spans="1:5" x14ac:dyDescent="0.2">
      <c r="A19" t="s">
        <v>890</v>
      </c>
      <c r="B19" s="951">
        <v>18.25</v>
      </c>
      <c r="C19">
        <v>19.43</v>
      </c>
      <c r="D19">
        <v>20.14</v>
      </c>
    </row>
    <row r="22" spans="1:5" x14ac:dyDescent="0.2">
      <c r="A22" s="1293" t="s">
        <v>461</v>
      </c>
      <c r="B22" s="1294"/>
      <c r="C22" s="1294"/>
      <c r="D22" s="1295"/>
    </row>
    <row r="23" spans="1:5" x14ac:dyDescent="0.2">
      <c r="A23" s="1128"/>
      <c r="B23" s="1129"/>
      <c r="C23" s="1129"/>
      <c r="D23" s="238">
        <v>2023</v>
      </c>
      <c r="E23" s="239">
        <v>45603</v>
      </c>
    </row>
    <row r="24" spans="1:5" x14ac:dyDescent="0.2">
      <c r="A24" s="1297" t="s">
        <v>253</v>
      </c>
      <c r="B24" s="1297"/>
      <c r="C24" s="688" t="s">
        <v>460</v>
      </c>
      <c r="D24" s="769">
        <v>-0.95</v>
      </c>
      <c r="E24" s="769">
        <v>0.05</v>
      </c>
    </row>
    <row r="25" spans="1:5" x14ac:dyDescent="0.2">
      <c r="A25" s="1297" t="s">
        <v>254</v>
      </c>
      <c r="B25" s="1297"/>
      <c r="C25" s="688" t="s">
        <v>460</v>
      </c>
      <c r="D25" s="768">
        <f>D24</f>
        <v>-0.95</v>
      </c>
      <c r="E25" s="768">
        <f>E24</f>
        <v>0.05</v>
      </c>
    </row>
    <row r="26" spans="1:5" x14ac:dyDescent="0.2">
      <c r="A26" s="1297" t="s">
        <v>255</v>
      </c>
      <c r="B26" s="1297"/>
      <c r="C26" s="688" t="s">
        <v>460</v>
      </c>
      <c r="D26" s="768">
        <v>0.05</v>
      </c>
      <c r="E26" s="768">
        <v>0.05</v>
      </c>
    </row>
    <row r="27" spans="1:5" x14ac:dyDescent="0.2">
      <c r="A27" s="1313" t="s">
        <v>256</v>
      </c>
      <c r="B27" s="1313"/>
      <c r="C27" s="688" t="s">
        <v>460</v>
      </c>
      <c r="D27" s="770">
        <v>0.05</v>
      </c>
      <c r="E27" s="770">
        <v>0.05</v>
      </c>
    </row>
    <row r="28" spans="1:5" x14ac:dyDescent="0.2">
      <c r="A28" s="1314" t="s">
        <v>264</v>
      </c>
      <c r="B28" s="1314"/>
      <c r="C28" s="1138" t="s">
        <v>460</v>
      </c>
      <c r="D28" s="1139">
        <v>0.05</v>
      </c>
      <c r="E28" s="1139">
        <v>0.05</v>
      </c>
    </row>
    <row r="29" spans="1:5" ht="15" x14ac:dyDescent="0.25">
      <c r="A29" s="1319" t="s">
        <v>951</v>
      </c>
      <c r="B29" s="1319"/>
      <c r="C29" s="688" t="s">
        <v>460</v>
      </c>
      <c r="D29" s="1513">
        <v>17.899999999999999</v>
      </c>
      <c r="E29" s="1141">
        <v>18.5</v>
      </c>
    </row>
    <row r="30" spans="1:5" ht="15" x14ac:dyDescent="0.25">
      <c r="A30" s="183" t="s">
        <v>952</v>
      </c>
      <c r="B30" s="90"/>
      <c r="C30" s="688" t="s">
        <v>460</v>
      </c>
      <c r="D30" s="1513"/>
      <c r="E30" s="1141">
        <v>21</v>
      </c>
    </row>
    <row r="31" spans="1:5" x14ac:dyDescent="0.2">
      <c r="A31" s="1512" t="s">
        <v>433</v>
      </c>
      <c r="B31" s="1512"/>
      <c r="C31" s="1140" t="s">
        <v>435</v>
      </c>
      <c r="D31" s="1142">
        <v>7.5</v>
      </c>
      <c r="E31" s="1142">
        <v>3.5000000000000003E-2</v>
      </c>
    </row>
    <row r="32" spans="1:5" x14ac:dyDescent="0.2">
      <c r="A32" s="1136" t="s">
        <v>434</v>
      </c>
      <c r="B32" s="1137"/>
      <c r="C32" s="688" t="s">
        <v>435</v>
      </c>
      <c r="D32" s="1143">
        <v>9.1</v>
      </c>
      <c r="E32" s="1143">
        <v>0.05</v>
      </c>
    </row>
    <row r="35" spans="1:13" x14ac:dyDescent="0.2">
      <c r="A35" s="722" t="s">
        <v>358</v>
      </c>
      <c r="B35" s="723"/>
      <c r="C35" s="723"/>
      <c r="D35" s="723" t="s">
        <v>1033</v>
      </c>
      <c r="E35" s="723"/>
      <c r="F35" s="723"/>
      <c r="H35" s="722" t="s">
        <v>358</v>
      </c>
      <c r="I35" s="723"/>
      <c r="J35" s="723" t="s">
        <v>1035</v>
      </c>
      <c r="K35" s="723"/>
      <c r="L35" s="723"/>
      <c r="M35" s="723"/>
    </row>
    <row r="36" spans="1:13" ht="57" x14ac:dyDescent="0.2">
      <c r="A36" s="720" t="s">
        <v>332</v>
      </c>
      <c r="B36" s="1298" t="s">
        <v>927</v>
      </c>
      <c r="C36" s="1299"/>
      <c r="D36" s="721" t="s">
        <v>332</v>
      </c>
      <c r="E36" s="1300" t="s">
        <v>926</v>
      </c>
      <c r="F36" s="1301"/>
      <c r="H36" s="720" t="s">
        <v>332</v>
      </c>
      <c r="I36" s="1193" t="s">
        <v>927</v>
      </c>
      <c r="J36" s="1194"/>
      <c r="K36" s="721" t="s">
        <v>332</v>
      </c>
      <c r="L36" s="1195" t="s">
        <v>926</v>
      </c>
      <c r="M36" s="1196"/>
    </row>
    <row r="37" spans="1:13" ht="28.5" customHeight="1" x14ac:dyDescent="0.2">
      <c r="A37" s="720"/>
      <c r="B37" s="188" t="s">
        <v>361</v>
      </c>
      <c r="C37" s="188" t="s">
        <v>339</v>
      </c>
      <c r="D37" s="721"/>
      <c r="E37" s="188" t="s">
        <v>361</v>
      </c>
      <c r="F37" s="188" t="s">
        <v>339</v>
      </c>
      <c r="H37" s="720"/>
      <c r="I37" s="188" t="s">
        <v>361</v>
      </c>
      <c r="J37" s="188" t="s">
        <v>339</v>
      </c>
      <c r="K37" s="721"/>
      <c r="L37" s="188" t="s">
        <v>361</v>
      </c>
      <c r="M37" s="188" t="s">
        <v>339</v>
      </c>
    </row>
    <row r="38" spans="1:13" x14ac:dyDescent="0.2">
      <c r="A38" s="737"/>
      <c r="B38" s="737"/>
      <c r="C38" s="737"/>
      <c r="D38" t="s">
        <v>462</v>
      </c>
      <c r="E38" s="713">
        <v>0.02</v>
      </c>
      <c r="F38" s="713">
        <v>0.02</v>
      </c>
      <c r="H38" s="737"/>
      <c r="I38" s="737"/>
      <c r="J38" s="737"/>
      <c r="K38" t="s">
        <v>462</v>
      </c>
      <c r="L38" s="769">
        <v>0.02</v>
      </c>
      <c r="M38" s="713">
        <v>0.02</v>
      </c>
    </row>
    <row r="39" spans="1:13" x14ac:dyDescent="0.2">
      <c r="A39" s="368" t="s">
        <v>359</v>
      </c>
      <c r="B39" s="1133">
        <v>8.1000000000000003E-2</v>
      </c>
      <c r="C39" s="1134">
        <v>2.5000000000000001E-2</v>
      </c>
      <c r="D39" s="174" t="s">
        <v>454</v>
      </c>
      <c r="E39" s="713">
        <v>0.05</v>
      </c>
      <c r="F39" s="713">
        <v>0.03</v>
      </c>
      <c r="H39" s="368" t="s">
        <v>359</v>
      </c>
      <c r="I39" s="1198">
        <v>8.5000000000000006E-2</v>
      </c>
      <c r="J39" s="1134">
        <v>2.5000000000000001E-2</v>
      </c>
      <c r="K39" s="174" t="s">
        <v>454</v>
      </c>
      <c r="L39" s="1197">
        <v>5.1499999999999997E-2</v>
      </c>
      <c r="M39" s="713">
        <v>0.03</v>
      </c>
    </row>
    <row r="40" spans="1:13" x14ac:dyDescent="0.2">
      <c r="A40" s="368" t="s">
        <v>140</v>
      </c>
      <c r="B40" s="1133">
        <v>3.5400000000000001E-2</v>
      </c>
      <c r="C40" s="1134">
        <v>0.03</v>
      </c>
      <c r="D40" s="174" t="s">
        <v>455</v>
      </c>
      <c r="E40" s="713">
        <v>0.05</v>
      </c>
      <c r="F40" s="713">
        <v>0.03</v>
      </c>
      <c r="H40" s="368" t="s">
        <v>140</v>
      </c>
      <c r="I40" s="1198">
        <v>3.6499999999999998E-2</v>
      </c>
      <c r="J40" s="1134">
        <v>0.03</v>
      </c>
      <c r="K40" s="174" t="s">
        <v>455</v>
      </c>
      <c r="L40" s="1197">
        <v>5.1499999999999997E-2</v>
      </c>
      <c r="M40" s="713">
        <v>0.03</v>
      </c>
    </row>
    <row r="41" spans="1:13" ht="38.25" x14ac:dyDescent="0.2">
      <c r="A41" s="369" t="s">
        <v>360</v>
      </c>
      <c r="B41" s="1133">
        <v>4.0500000000000001E-2</v>
      </c>
      <c r="C41" s="1134">
        <v>0.03</v>
      </c>
      <c r="D41" s="174" t="s">
        <v>456</v>
      </c>
      <c r="E41" s="713">
        <v>0.04</v>
      </c>
      <c r="F41" s="713">
        <v>0.02</v>
      </c>
      <c r="H41" s="369" t="s">
        <v>360</v>
      </c>
      <c r="I41" s="1198">
        <v>4.1500000000000002E-2</v>
      </c>
      <c r="J41" s="1134">
        <v>0.03</v>
      </c>
      <c r="K41" s="174" t="s">
        <v>456</v>
      </c>
      <c r="L41" s="1197">
        <v>4.1000000000000002E-2</v>
      </c>
      <c r="M41" s="713">
        <v>0.02</v>
      </c>
    </row>
    <row r="42" spans="1:13" ht="15" x14ac:dyDescent="0.25">
      <c r="A42" s="366"/>
      <c r="D42" s="739" t="s">
        <v>457</v>
      </c>
      <c r="E42" s="740">
        <f>ROUND(IFERROR(AVERAGE(E38:E41),""),3)</f>
        <v>0.04</v>
      </c>
      <c r="F42" s="740">
        <f>ROUND(IFERROR(AVERAGE(F38:F41),""),3)</f>
        <v>2.5000000000000001E-2</v>
      </c>
      <c r="H42" s="366"/>
      <c r="K42" s="739" t="s">
        <v>457</v>
      </c>
      <c r="L42" s="740">
        <f>ROUND(IFERROR(AVERAGE(L38:L41),""),3)</f>
        <v>4.1000000000000002E-2</v>
      </c>
      <c r="M42" s="740">
        <f>ROUND(IFERROR(AVERAGE(M38:M41),""),3)</f>
        <v>2.5000000000000001E-2</v>
      </c>
    </row>
    <row r="43" spans="1:13" x14ac:dyDescent="0.2">
      <c r="B43" s="788" t="s">
        <v>489</v>
      </c>
    </row>
    <row r="44" spans="1:13" x14ac:dyDescent="0.2">
      <c r="B44" s="788" t="s">
        <v>491</v>
      </c>
    </row>
    <row r="45" spans="1:13" x14ac:dyDescent="0.2">
      <c r="B45" s="788" t="s">
        <v>490</v>
      </c>
    </row>
  </sheetData>
  <sheetProtection algorithmName="SHA-512" hashValue="9c+p3O1oUFB2QINF1u3/3R6tp6MBU1VsBBX/ChuB4fGPMGl+rq4W0zZfHE2+DTII+6luJ3Ha2w7inqvdQq5o+A==" saltValue="qPluWpNAddDzxbHgyj71QA==" spinCount="100000" sheet="1" objects="1" scenarios="1"/>
  <mergeCells count="23">
    <mergeCell ref="B36:C36"/>
    <mergeCell ref="E36:F36"/>
    <mergeCell ref="N2:P2"/>
    <mergeCell ref="M12:N12"/>
    <mergeCell ref="M13:N13"/>
    <mergeCell ref="A22:D22"/>
    <mergeCell ref="A24:B24"/>
    <mergeCell ref="J2:L2"/>
    <mergeCell ref="I12:J12"/>
    <mergeCell ref="I13:J13"/>
    <mergeCell ref="B2:D2"/>
    <mergeCell ref="A12:B12"/>
    <mergeCell ref="A13:B13"/>
    <mergeCell ref="F2:H2"/>
    <mergeCell ref="E12:F12"/>
    <mergeCell ref="E13:F13"/>
    <mergeCell ref="A31:B31"/>
    <mergeCell ref="D29:D30"/>
    <mergeCell ref="A25:B25"/>
    <mergeCell ref="A26:B26"/>
    <mergeCell ref="A27:B27"/>
    <mergeCell ref="A28:B28"/>
    <mergeCell ref="A29:B29"/>
  </mergeCells>
  <pageMargins left="0.70866141732283472" right="0.70866141732283472" top="0.78740157480314965" bottom="0.78740157480314965" header="0.31496062992125984" footer="0.31496062992125984"/>
  <pageSetup paperSize="9" scale="91" orientation="landscape"/>
  <headerFooter>
    <oddFooter>&amp;C_x000D_&amp;1#&amp;"Calibri"&amp;10&amp;K000000 öffentlich</oddFooter>
  </headerFooter>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08B85-6D75-4ACD-B856-F1D0118AAC4A}">
  <dimension ref="A1"/>
  <sheetViews>
    <sheetView workbookViewId="0"/>
  </sheetViews>
  <sheetFormatPr baseColWidth="10" defaultRowHeight="14.25" x14ac:dyDescent="0.2"/>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9"/>
  <dimension ref="A1:T160"/>
  <sheetViews>
    <sheetView topLeftCell="A113" workbookViewId="0">
      <selection activeCell="M103" sqref="M103"/>
    </sheetView>
  </sheetViews>
  <sheetFormatPr baseColWidth="10" defaultRowHeight="14.25" x14ac:dyDescent="0.2"/>
  <cols>
    <col min="1" max="1" width="16.875" customWidth="1"/>
    <col min="2" max="2" width="13.625" customWidth="1"/>
    <col min="3" max="3" width="14" customWidth="1"/>
    <col min="5" max="5" width="19.125" customWidth="1"/>
    <col min="15" max="16" width="17.375" customWidth="1"/>
    <col min="17" max="17" width="23.75" customWidth="1"/>
  </cols>
  <sheetData>
    <row r="1" spans="1:11" s="61" customFormat="1" ht="15" x14ac:dyDescent="0.25">
      <c r="A1" s="61" t="s">
        <v>123</v>
      </c>
      <c r="B1" s="61" t="s">
        <v>124</v>
      </c>
      <c r="C1" s="61" t="s">
        <v>73</v>
      </c>
      <c r="D1" s="61" t="s">
        <v>125</v>
      </c>
      <c r="E1" s="62" t="s">
        <v>126</v>
      </c>
      <c r="F1" s="61" t="s">
        <v>127</v>
      </c>
    </row>
    <row r="2" spans="1:11" x14ac:dyDescent="0.2">
      <c r="A2" s="63" t="s">
        <v>133</v>
      </c>
      <c r="B2" s="64" t="s">
        <v>129</v>
      </c>
      <c r="C2" s="63">
        <v>30.42</v>
      </c>
      <c r="D2" s="63">
        <v>365</v>
      </c>
      <c r="E2" s="65">
        <v>1</v>
      </c>
      <c r="F2" s="63" t="s">
        <v>130</v>
      </c>
      <c r="G2" s="751"/>
      <c r="J2" s="170"/>
    </row>
    <row r="3" spans="1:11" x14ac:dyDescent="0.2">
      <c r="A3" s="63" t="s">
        <v>134</v>
      </c>
      <c r="B3" s="63"/>
      <c r="C3" s="63">
        <v>26</v>
      </c>
      <c r="D3" s="63">
        <v>312</v>
      </c>
      <c r="E3" s="65">
        <v>0.99</v>
      </c>
      <c r="F3" s="63" t="s">
        <v>132</v>
      </c>
      <c r="J3" s="169"/>
    </row>
    <row r="4" spans="1:11" x14ac:dyDescent="0.2">
      <c r="A4" s="63" t="s">
        <v>128</v>
      </c>
      <c r="C4" s="63">
        <v>20.83</v>
      </c>
      <c r="D4" s="63">
        <v>250</v>
      </c>
      <c r="E4" s="65">
        <v>0.98</v>
      </c>
      <c r="F4" s="63"/>
    </row>
    <row r="5" spans="1:11" x14ac:dyDescent="0.2">
      <c r="A5" s="63" t="s">
        <v>30</v>
      </c>
      <c r="C5" s="63"/>
      <c r="D5" s="63"/>
      <c r="E5" s="65">
        <v>0.97</v>
      </c>
      <c r="J5" s="1"/>
      <c r="K5" s="1"/>
    </row>
    <row r="6" spans="1:11" x14ac:dyDescent="0.2">
      <c r="A6" s="63" t="s">
        <v>131</v>
      </c>
      <c r="E6" s="65">
        <v>0.96</v>
      </c>
    </row>
    <row r="7" spans="1:11" x14ac:dyDescent="0.2">
      <c r="A7" s="63"/>
      <c r="E7" s="65">
        <v>0.95</v>
      </c>
      <c r="J7" s="185"/>
    </row>
    <row r="8" spans="1:11" x14ac:dyDescent="0.2">
      <c r="A8" s="63"/>
      <c r="E8" s="65">
        <v>0.94</v>
      </c>
    </row>
    <row r="9" spans="1:11" x14ac:dyDescent="0.2">
      <c r="E9" s="65">
        <v>0.93</v>
      </c>
    </row>
    <row r="10" spans="1:11" x14ac:dyDescent="0.2">
      <c r="A10" s="63" t="s">
        <v>722</v>
      </c>
      <c r="E10" s="65">
        <v>0.92</v>
      </c>
    </row>
    <row r="11" spans="1:11" x14ac:dyDescent="0.2">
      <c r="A11" s="63" t="s">
        <v>723</v>
      </c>
      <c r="E11" s="65">
        <v>0.91</v>
      </c>
    </row>
    <row r="12" spans="1:11" x14ac:dyDescent="0.2">
      <c r="E12" s="65">
        <v>0.9</v>
      </c>
    </row>
    <row r="13" spans="1:11" x14ac:dyDescent="0.2">
      <c r="E13" s="65">
        <v>0.89</v>
      </c>
    </row>
    <row r="14" spans="1:11" x14ac:dyDescent="0.2">
      <c r="E14" s="65">
        <v>0.88</v>
      </c>
    </row>
    <row r="15" spans="1:11" x14ac:dyDescent="0.2">
      <c r="A15" s="38"/>
      <c r="E15" s="65">
        <v>0.87</v>
      </c>
    </row>
    <row r="16" spans="1:11" x14ac:dyDescent="0.2">
      <c r="A16" s="38"/>
      <c r="E16" s="65">
        <v>0.86</v>
      </c>
    </row>
    <row r="17" spans="1:17" x14ac:dyDescent="0.2">
      <c r="E17" s="65">
        <v>0.85</v>
      </c>
    </row>
    <row r="18" spans="1:17" x14ac:dyDescent="0.2">
      <c r="A18" s="51"/>
      <c r="E18" s="63"/>
    </row>
    <row r="19" spans="1:17" x14ac:dyDescent="0.2">
      <c r="A19" s="51"/>
    </row>
    <row r="20" spans="1:17" ht="15" thickBot="1" x14ac:dyDescent="0.25">
      <c r="A20" s="161" t="s">
        <v>240</v>
      </c>
      <c r="B20" s="150"/>
      <c r="C20" s="150"/>
      <c r="D20" s="150"/>
      <c r="E20" s="150"/>
      <c r="F20" s="127"/>
      <c r="G20" s="127"/>
      <c r="H20" s="127"/>
      <c r="I20" s="127"/>
      <c r="J20" s="127"/>
      <c r="K20" s="155"/>
      <c r="L20" s="155"/>
      <c r="M20" s="127"/>
      <c r="N20" s="127"/>
      <c r="O20" s="127"/>
      <c r="P20" s="127"/>
      <c r="Q20" s="127"/>
    </row>
    <row r="21" spans="1:17" ht="15.75" thickTop="1" thickBot="1" x14ac:dyDescent="0.25">
      <c r="A21" s="127"/>
      <c r="B21" s="127"/>
      <c r="C21" s="127"/>
      <c r="D21" s="127"/>
      <c r="E21" s="127"/>
      <c r="F21" s="127"/>
      <c r="G21" s="127"/>
      <c r="H21" s="127"/>
      <c r="I21" s="127"/>
      <c r="J21" s="127"/>
      <c r="K21" s="127"/>
      <c r="L21" s="127"/>
      <c r="M21" s="127"/>
      <c r="N21" s="127"/>
      <c r="O21" s="127"/>
      <c r="P21" s="127"/>
      <c r="Q21" s="127"/>
    </row>
    <row r="22" spans="1:17" x14ac:dyDescent="0.2">
      <c r="A22" s="128" t="s">
        <v>202</v>
      </c>
      <c r="B22" s="129" t="s">
        <v>212</v>
      </c>
      <c r="C22" s="127"/>
      <c r="D22" s="127"/>
      <c r="E22" s="127"/>
      <c r="F22" s="127"/>
      <c r="G22" s="127"/>
      <c r="H22" s="127"/>
      <c r="I22" s="127"/>
      <c r="J22" s="159" t="s">
        <v>223</v>
      </c>
      <c r="K22" s="127"/>
      <c r="L22" s="127"/>
      <c r="M22" s="154"/>
      <c r="N22" s="127"/>
      <c r="O22" s="127"/>
      <c r="P22" s="127"/>
      <c r="Q22" s="127"/>
    </row>
    <row r="23" spans="1:17" x14ac:dyDescent="0.2">
      <c r="A23" s="130">
        <v>1</v>
      </c>
      <c r="B23" s="131">
        <f>IF(B1_Kalkulation!H14&lt;&gt;0,B1_Gesamtkalkulation!H47,0)</f>
        <v>0</v>
      </c>
      <c r="C23" s="127"/>
      <c r="D23" s="127"/>
      <c r="E23" s="127"/>
      <c r="F23" s="127"/>
      <c r="G23" s="127"/>
      <c r="H23" s="127"/>
      <c r="I23" s="127"/>
      <c r="J23" s="127" t="s">
        <v>224</v>
      </c>
      <c r="K23" s="127"/>
      <c r="L23" s="127"/>
      <c r="M23" s="127"/>
      <c r="N23" s="127"/>
      <c r="O23" s="127"/>
      <c r="P23" s="127"/>
      <c r="Q23" s="127"/>
    </row>
    <row r="24" spans="1:17" ht="15" thickBot="1" x14ac:dyDescent="0.25">
      <c r="A24" s="130">
        <v>2</v>
      </c>
      <c r="B24" s="158">
        <f>IF(B1_Kalkulation!I14&lt;&gt;0,B1_Gesamtkalkulation!J47,0)</f>
        <v>0</v>
      </c>
      <c r="C24" s="127"/>
      <c r="D24" s="127"/>
      <c r="E24" s="127"/>
      <c r="F24" s="127"/>
      <c r="G24" s="127"/>
      <c r="H24" s="127"/>
      <c r="I24" s="127"/>
      <c r="J24" s="127" t="s">
        <v>225</v>
      </c>
      <c r="K24" s="127"/>
      <c r="L24" s="127"/>
      <c r="M24" s="127"/>
      <c r="N24" s="127"/>
      <c r="O24" s="127"/>
      <c r="P24" s="127"/>
      <c r="Q24" s="127"/>
    </row>
    <row r="25" spans="1:17" x14ac:dyDescent="0.2">
      <c r="A25" s="130">
        <v>3</v>
      </c>
      <c r="B25" s="158">
        <f>IF(B1_Kalkulation!J14&lt;&gt;0,B1_Gesamtkalkulation!L47,0)</f>
        <v>0</v>
      </c>
      <c r="C25" s="127"/>
      <c r="D25" s="132" t="s">
        <v>209</v>
      </c>
      <c r="E25" s="133"/>
      <c r="F25" s="151" t="str">
        <f>IF('B1_Allgemeine Angaben'!D7="tst","tst",IF('B1_Allgemeine Angaben'!D7="kzp","KZP",""))</f>
        <v/>
      </c>
      <c r="G25" s="134"/>
      <c r="H25" s="127"/>
      <c r="I25" s="127"/>
      <c r="J25" s="127" t="s">
        <v>226</v>
      </c>
      <c r="K25" s="127"/>
      <c r="L25" s="127"/>
      <c r="M25" s="127"/>
      <c r="N25" s="127"/>
      <c r="O25" s="127"/>
      <c r="P25" s="127"/>
      <c r="Q25" s="127"/>
    </row>
    <row r="26" spans="1:17" ht="15" thickBot="1" x14ac:dyDescent="0.25">
      <c r="A26" s="130">
        <v>4</v>
      </c>
      <c r="B26" s="158">
        <f>IF(B1_Kalkulation!K14&lt;&gt;0,B1_Gesamtkalkulation!N47,0)</f>
        <v>0</v>
      </c>
      <c r="C26" s="127"/>
      <c r="D26" s="135" t="s">
        <v>222</v>
      </c>
      <c r="E26" s="136"/>
      <c r="F26" s="136"/>
      <c r="G26" s="137"/>
      <c r="H26" s="127"/>
      <c r="I26" s="127"/>
      <c r="J26" s="127"/>
      <c r="K26" s="127"/>
      <c r="L26" s="127"/>
      <c r="M26" s="127"/>
      <c r="N26" s="127"/>
      <c r="O26" s="127"/>
      <c r="P26" s="127"/>
      <c r="Q26" s="127"/>
    </row>
    <row r="27" spans="1:17" x14ac:dyDescent="0.2">
      <c r="A27" s="138">
        <v>5</v>
      </c>
      <c r="B27" s="131">
        <f>IF(B1_Kalkulation!L14&lt;&gt;0,B1_Gesamtkalkulation!P47,0)</f>
        <v>0</v>
      </c>
      <c r="C27" s="127"/>
      <c r="D27" s="127"/>
      <c r="E27" s="127"/>
      <c r="F27" s="127"/>
      <c r="G27" s="127"/>
      <c r="H27" s="127"/>
      <c r="I27" s="127"/>
      <c r="J27" s="127"/>
      <c r="K27" s="127"/>
      <c r="L27" s="127"/>
      <c r="M27" s="127"/>
      <c r="N27" s="127"/>
      <c r="O27" s="127"/>
      <c r="P27" s="127"/>
      <c r="Q27" s="127"/>
    </row>
    <row r="28" spans="1:17" x14ac:dyDescent="0.2">
      <c r="A28" s="139"/>
      <c r="B28" s="127"/>
      <c r="C28" s="127"/>
      <c r="D28" s="127"/>
      <c r="E28" s="127"/>
      <c r="F28" s="127"/>
      <c r="G28" s="127"/>
      <c r="H28" s="127"/>
      <c r="I28" s="127"/>
      <c r="J28" s="127"/>
      <c r="K28" s="127"/>
      <c r="L28" s="160" t="s">
        <v>227</v>
      </c>
      <c r="M28" s="127"/>
      <c r="N28" s="127"/>
      <c r="O28" s="127"/>
      <c r="P28" s="127"/>
      <c r="Q28" s="127"/>
    </row>
    <row r="29" spans="1:17" x14ac:dyDescent="0.2">
      <c r="A29" s="127" t="s">
        <v>217</v>
      </c>
      <c r="B29" s="127"/>
      <c r="C29" s="127"/>
      <c r="D29" s="127"/>
      <c r="E29" s="127" t="s">
        <v>216</v>
      </c>
      <c r="F29" s="127"/>
      <c r="G29" s="127"/>
      <c r="H29" s="127"/>
      <c r="I29" s="127"/>
      <c r="J29" s="127"/>
      <c r="K29" s="127"/>
      <c r="L29" s="127" t="s">
        <v>241</v>
      </c>
      <c r="M29" s="127"/>
      <c r="N29" s="127"/>
      <c r="O29" s="127"/>
      <c r="P29" s="127"/>
      <c r="Q29" s="127"/>
    </row>
    <row r="30" spans="1:17" x14ac:dyDescent="0.2">
      <c r="A30" s="140"/>
      <c r="B30" s="141" t="s">
        <v>204</v>
      </c>
      <c r="C30" s="140" t="s">
        <v>205</v>
      </c>
      <c r="D30" s="142" t="s">
        <v>214</v>
      </c>
      <c r="E30" s="143" t="s">
        <v>215</v>
      </c>
      <c r="F30" s="141"/>
      <c r="G30" s="140" t="s">
        <v>213</v>
      </c>
      <c r="H30" s="140" t="s">
        <v>220</v>
      </c>
      <c r="I30" s="141"/>
      <c r="J30" s="141" t="s">
        <v>208</v>
      </c>
      <c r="K30" s="127"/>
      <c r="L30" s="127" t="s">
        <v>228</v>
      </c>
      <c r="M30" s="127"/>
      <c r="N30" s="127"/>
      <c r="O30" s="127"/>
      <c r="P30" s="127"/>
      <c r="Q30" s="127"/>
    </row>
    <row r="31" spans="1:17" x14ac:dyDescent="0.2">
      <c r="A31" s="144"/>
      <c r="B31" s="145"/>
      <c r="C31" s="146"/>
      <c r="D31" s="146">
        <f>IF(B23=0,B24*B55/C55,0)</f>
        <v>0</v>
      </c>
      <c r="E31" s="145">
        <f>IF(B23=0,B24*B48/C48,0)</f>
        <v>0</v>
      </c>
      <c r="F31" s="145"/>
      <c r="G31" s="146">
        <f>IF(F25="tst",D31,E31)</f>
        <v>0</v>
      </c>
      <c r="H31" s="153">
        <f>IF(B23=0,G31,B23)</f>
        <v>0</v>
      </c>
      <c r="I31" s="127"/>
      <c r="J31" s="147" t="s">
        <v>197</v>
      </c>
      <c r="K31" s="127"/>
      <c r="L31" s="127" t="s">
        <v>229</v>
      </c>
      <c r="M31" s="127"/>
      <c r="N31" s="127"/>
      <c r="O31" s="127"/>
      <c r="P31" s="127"/>
      <c r="Q31" s="127"/>
    </row>
    <row r="32" spans="1:17" x14ac:dyDescent="0.2">
      <c r="A32" s="144"/>
      <c r="B32" s="156"/>
      <c r="C32" s="157"/>
      <c r="D32" s="157"/>
      <c r="E32" s="156"/>
      <c r="F32" s="156"/>
      <c r="G32" s="157"/>
      <c r="H32" s="153">
        <f>IF(B24=0,G32,B24)</f>
        <v>0</v>
      </c>
      <c r="I32" s="127"/>
      <c r="J32" s="147" t="s">
        <v>201</v>
      </c>
      <c r="K32" s="127"/>
      <c r="L32" s="127" t="s">
        <v>230</v>
      </c>
      <c r="M32" s="127"/>
      <c r="N32" s="127"/>
      <c r="O32" s="127"/>
      <c r="P32" s="127"/>
      <c r="Q32" s="127"/>
    </row>
    <row r="33" spans="1:17" x14ac:dyDescent="0.2">
      <c r="A33" s="144"/>
      <c r="B33" s="156"/>
      <c r="C33" s="157"/>
      <c r="D33" s="157"/>
      <c r="E33" s="156"/>
      <c r="F33" s="156"/>
      <c r="G33" s="157"/>
      <c r="H33" s="153">
        <f>IF(B25=0,G33,B25)</f>
        <v>0</v>
      </c>
      <c r="I33" s="127"/>
      <c r="J33" s="147" t="s">
        <v>200</v>
      </c>
      <c r="K33" s="127"/>
      <c r="L33" s="127" t="s">
        <v>231</v>
      </c>
      <c r="M33" s="127"/>
      <c r="N33" s="127"/>
      <c r="O33" s="127"/>
      <c r="P33" s="127"/>
      <c r="Q33" s="127"/>
    </row>
    <row r="34" spans="1:17" x14ac:dyDescent="0.2">
      <c r="A34" s="144"/>
      <c r="B34" s="156"/>
      <c r="C34" s="157"/>
      <c r="D34" s="157"/>
      <c r="E34" s="156"/>
      <c r="F34" s="156"/>
      <c r="G34" s="157"/>
      <c r="H34" s="153">
        <f>IF(B26=0,G34,B26)</f>
        <v>0</v>
      </c>
      <c r="I34" s="127"/>
      <c r="J34" s="147" t="s">
        <v>199</v>
      </c>
      <c r="K34" s="127"/>
      <c r="L34" s="127" t="s">
        <v>232</v>
      </c>
      <c r="M34" s="127"/>
      <c r="N34" s="127"/>
      <c r="O34" s="127"/>
      <c r="P34" s="127"/>
      <c r="Q34" s="127"/>
    </row>
    <row r="35" spans="1:17" x14ac:dyDescent="0.2">
      <c r="A35" s="144"/>
      <c r="B35" s="145"/>
      <c r="C35" s="146"/>
      <c r="D35" s="148">
        <f>IF(B27=0,B26/E55*F55,0)</f>
        <v>0</v>
      </c>
      <c r="E35" s="145">
        <f>IF(B27=0,B26*F48/E48,0)</f>
        <v>0</v>
      </c>
      <c r="F35" s="145"/>
      <c r="G35" s="146">
        <f>IF(F25="tst",D35,E35)</f>
        <v>0</v>
      </c>
      <c r="H35" s="153">
        <f>IF(B27=0,G35,B27)</f>
        <v>0</v>
      </c>
      <c r="I35" s="127"/>
      <c r="J35" s="147" t="s">
        <v>198</v>
      </c>
      <c r="K35" s="127"/>
      <c r="L35" s="127" t="s">
        <v>233</v>
      </c>
      <c r="M35" s="127"/>
      <c r="N35" s="127"/>
      <c r="O35" s="127"/>
      <c r="P35" s="127"/>
      <c r="Q35" s="127"/>
    </row>
    <row r="36" spans="1:17" x14ac:dyDescent="0.2">
      <c r="A36" s="127"/>
      <c r="B36" s="127"/>
      <c r="C36" s="127"/>
      <c r="D36" s="127"/>
      <c r="E36" s="127"/>
      <c r="F36" s="127"/>
      <c r="G36" s="127"/>
      <c r="H36" s="127"/>
      <c r="I36" s="127"/>
      <c r="J36" s="127"/>
      <c r="K36" s="127"/>
      <c r="L36" s="127" t="s">
        <v>234</v>
      </c>
      <c r="M36" s="127"/>
      <c r="N36" s="127"/>
      <c r="O36" s="127"/>
      <c r="P36" s="127"/>
      <c r="Q36" s="127"/>
    </row>
    <row r="37" spans="1:17" x14ac:dyDescent="0.2">
      <c r="A37" s="149"/>
      <c r="B37" s="149"/>
      <c r="C37" s="149"/>
      <c r="D37" s="127"/>
      <c r="E37" s="127"/>
      <c r="F37" s="127"/>
      <c r="G37" s="127"/>
      <c r="H37" s="127"/>
      <c r="I37" s="127"/>
      <c r="J37" s="149"/>
      <c r="K37" s="149"/>
      <c r="L37" s="127" t="s">
        <v>235</v>
      </c>
      <c r="M37" s="149"/>
      <c r="N37" s="149"/>
      <c r="O37" s="149"/>
      <c r="P37" s="149"/>
      <c r="Q37" s="149"/>
    </row>
    <row r="38" spans="1:17" x14ac:dyDescent="0.2">
      <c r="A38" s="152" t="s">
        <v>219</v>
      </c>
      <c r="B38" s="152"/>
      <c r="C38" s="152"/>
      <c r="D38" s="152"/>
      <c r="E38" s="152"/>
      <c r="F38" s="152"/>
      <c r="G38" s="152"/>
      <c r="H38" s="152"/>
      <c r="I38" s="152"/>
      <c r="J38" s="126"/>
      <c r="K38" s="126"/>
      <c r="L38" s="152" t="s">
        <v>236</v>
      </c>
      <c r="M38" s="126"/>
      <c r="N38" s="126"/>
      <c r="O38" s="126"/>
      <c r="P38" s="126"/>
      <c r="Q38" s="126"/>
    </row>
    <row r="39" spans="1:17" x14ac:dyDescent="0.2">
      <c r="A39" s="152" t="s">
        <v>218</v>
      </c>
      <c r="B39" s="126"/>
      <c r="C39" s="126"/>
      <c r="D39" s="126"/>
      <c r="E39" s="126"/>
      <c r="F39" s="126"/>
      <c r="G39" s="126"/>
      <c r="H39" s="126"/>
      <c r="I39" s="126"/>
      <c r="J39" s="152"/>
      <c r="K39" s="126"/>
      <c r="L39" s="152" t="s">
        <v>237</v>
      </c>
      <c r="M39" s="126"/>
      <c r="N39" s="126"/>
      <c r="O39" s="126"/>
      <c r="P39" s="126"/>
      <c r="Q39" s="126"/>
    </row>
    <row r="40" spans="1:17" x14ac:dyDescent="0.2">
      <c r="A40" s="152"/>
      <c r="B40" s="152"/>
      <c r="C40" s="152"/>
      <c r="D40" s="152"/>
      <c r="E40" s="152"/>
      <c r="F40" s="152"/>
      <c r="G40" s="152"/>
      <c r="H40" s="152"/>
      <c r="I40" s="152"/>
      <c r="J40" s="152"/>
      <c r="K40" s="126"/>
      <c r="L40" s="152" t="s">
        <v>238</v>
      </c>
      <c r="M40" s="126"/>
      <c r="N40" s="126"/>
      <c r="O40" s="126"/>
      <c r="P40" s="126"/>
      <c r="Q40" s="126"/>
    </row>
    <row r="41" spans="1:17" x14ac:dyDescent="0.2">
      <c r="A41" s="152"/>
      <c r="B41" s="152"/>
      <c r="C41" s="152"/>
      <c r="D41" s="152"/>
      <c r="E41" s="152"/>
      <c r="F41" s="152"/>
      <c r="G41" s="152"/>
      <c r="H41" s="152"/>
      <c r="I41" s="152"/>
      <c r="J41" s="152"/>
      <c r="K41" s="126"/>
      <c r="L41" s="152" t="s">
        <v>239</v>
      </c>
      <c r="M41" s="126"/>
      <c r="N41" s="126"/>
      <c r="O41" s="126"/>
      <c r="P41" s="126"/>
      <c r="Q41" s="126"/>
    </row>
    <row r="42" spans="1:17" x14ac:dyDescent="0.2">
      <c r="A42" s="126"/>
      <c r="B42" s="126"/>
      <c r="C42" s="126"/>
      <c r="D42" s="126"/>
      <c r="E42" s="126"/>
      <c r="F42" s="126"/>
      <c r="G42" s="126"/>
      <c r="H42" s="126"/>
      <c r="I42" s="126"/>
      <c r="J42" s="126"/>
      <c r="K42" s="126"/>
      <c r="L42" s="126"/>
      <c r="M42" s="126"/>
      <c r="N42" s="126"/>
      <c r="O42" s="126"/>
      <c r="P42" s="126"/>
      <c r="Q42" s="126"/>
    </row>
    <row r="44" spans="1:17" x14ac:dyDescent="0.2">
      <c r="A44" s="99"/>
      <c r="B44" s="1285" t="s">
        <v>196</v>
      </c>
      <c r="C44" s="1285"/>
      <c r="D44" s="1285"/>
      <c r="E44" s="1285"/>
      <c r="F44" s="1285"/>
    </row>
    <row r="45" spans="1:17" ht="15" thickBot="1" x14ac:dyDescent="0.25">
      <c r="A45" s="99"/>
      <c r="B45" s="100"/>
      <c r="C45" s="101"/>
      <c r="D45" s="99"/>
      <c r="E45" s="41"/>
      <c r="F45" s="41"/>
    </row>
    <row r="46" spans="1:17" x14ac:dyDescent="0.2">
      <c r="A46" s="99"/>
      <c r="B46" s="102" t="s">
        <v>197</v>
      </c>
      <c r="C46" s="102" t="s">
        <v>201</v>
      </c>
      <c r="D46" s="102" t="s">
        <v>200</v>
      </c>
      <c r="E46" s="102" t="s">
        <v>199</v>
      </c>
      <c r="F46" s="102" t="s">
        <v>198</v>
      </c>
    </row>
    <row r="47" spans="1:17" ht="15" thickBot="1" x14ac:dyDescent="0.25">
      <c r="A47" s="99"/>
      <c r="B47" s="103"/>
      <c r="C47" s="103"/>
      <c r="D47" s="103"/>
      <c r="E47" s="103"/>
      <c r="F47" s="103"/>
    </row>
    <row r="48" spans="1:17" x14ac:dyDescent="0.2">
      <c r="A48" s="1286" t="s">
        <v>221</v>
      </c>
      <c r="B48" s="171">
        <v>0.78</v>
      </c>
      <c r="C48" s="171">
        <v>1</v>
      </c>
      <c r="D48" s="171">
        <v>1.36</v>
      </c>
      <c r="E48" s="171">
        <v>1.74</v>
      </c>
      <c r="F48" s="172">
        <v>1.91</v>
      </c>
    </row>
    <row r="49" spans="1:10" ht="15" thickBot="1" x14ac:dyDescent="0.25">
      <c r="A49" s="1287"/>
      <c r="B49" s="104"/>
      <c r="C49" s="122">
        <f>C48/B48-1</f>
        <v>0.28205128205128194</v>
      </c>
      <c r="D49" s="122">
        <f>D48/C48-1</f>
        <v>0.3600000000000001</v>
      </c>
      <c r="E49" s="122">
        <f>E48/D48-1</f>
        <v>0.27941176470588225</v>
      </c>
      <c r="F49" s="123">
        <f>F48/E48-1</f>
        <v>9.7701149425287293E-2</v>
      </c>
    </row>
    <row r="50" spans="1:10" ht="15" thickBot="1" x14ac:dyDescent="0.25">
      <c r="A50" s="42"/>
      <c r="B50" s="105"/>
      <c r="C50" s="105"/>
      <c r="D50" s="105"/>
      <c r="E50" s="105"/>
      <c r="F50" s="105"/>
    </row>
    <row r="51" spans="1:10" x14ac:dyDescent="0.2">
      <c r="A51" s="1288" t="s">
        <v>207</v>
      </c>
      <c r="B51" s="106">
        <v>125</v>
      </c>
      <c r="C51" s="106">
        <v>770</v>
      </c>
      <c r="D51" s="106">
        <v>1262</v>
      </c>
      <c r="E51" s="106">
        <v>1775</v>
      </c>
      <c r="F51" s="107">
        <v>2005</v>
      </c>
    </row>
    <row r="52" spans="1:10" x14ac:dyDescent="0.2">
      <c r="A52" s="1289"/>
      <c r="B52" s="108"/>
      <c r="C52" s="109">
        <v>1</v>
      </c>
      <c r="D52" s="110">
        <f>D51/C51</f>
        <v>1.638961038961039</v>
      </c>
      <c r="E52" s="110">
        <f>E51/C51</f>
        <v>2.3051948051948052</v>
      </c>
      <c r="F52" s="111">
        <f>F51/C51</f>
        <v>2.6038961038961039</v>
      </c>
    </row>
    <row r="53" spans="1:10" ht="15" thickBot="1" x14ac:dyDescent="0.25">
      <c r="A53" s="1290"/>
      <c r="B53" s="112"/>
      <c r="C53" s="113"/>
      <c r="D53" s="120">
        <f>D51/C51-1</f>
        <v>0.63896103896103895</v>
      </c>
      <c r="E53" s="120">
        <f>E51/D51-1</f>
        <v>0.40649762282091917</v>
      </c>
      <c r="F53" s="121">
        <f>F51/E51-1</f>
        <v>0.12957746478873244</v>
      </c>
    </row>
    <row r="54" spans="1:10" ht="15" thickBot="1" x14ac:dyDescent="0.25">
      <c r="A54" s="41"/>
      <c r="B54" s="114"/>
      <c r="C54" s="114"/>
      <c r="D54" s="114"/>
      <c r="E54" s="114"/>
      <c r="F54" s="114"/>
    </row>
    <row r="55" spans="1:10" x14ac:dyDescent="0.2">
      <c r="A55" s="1291" t="s">
        <v>206</v>
      </c>
      <c r="B55" s="115">
        <v>0.78</v>
      </c>
      <c r="C55" s="115">
        <v>1</v>
      </c>
      <c r="D55" s="115">
        <v>1.2</v>
      </c>
      <c r="E55" s="115">
        <v>1.4</v>
      </c>
      <c r="F55" s="116">
        <v>1.5</v>
      </c>
    </row>
    <row r="56" spans="1:10" ht="15" thickBot="1" x14ac:dyDescent="0.25">
      <c r="A56" s="1292"/>
      <c r="B56" s="117"/>
      <c r="C56" s="118">
        <f>C55/B55-1</f>
        <v>0.28205128205128194</v>
      </c>
      <c r="D56" s="118">
        <f>D55/C55-1</f>
        <v>0.19999999999999996</v>
      </c>
      <c r="E56" s="118">
        <f>E55/D55-1</f>
        <v>0.16666666666666674</v>
      </c>
      <c r="F56" s="119">
        <f>F55/E55-1</f>
        <v>7.1428571428571397E-2</v>
      </c>
    </row>
    <row r="59" spans="1:10" x14ac:dyDescent="0.2">
      <c r="A59" s="175" t="s">
        <v>302</v>
      </c>
      <c r="B59" s="21"/>
      <c r="C59" s="21"/>
      <c r="D59" s="21"/>
      <c r="E59" s="21"/>
      <c r="F59" s="167"/>
      <c r="J59" s="162" t="s">
        <v>309</v>
      </c>
    </row>
    <row r="60" spans="1:10" x14ac:dyDescent="0.2">
      <c r="A60" s="20"/>
      <c r="F60" s="19"/>
    </row>
    <row r="61" spans="1:10" ht="15" thickBot="1" x14ac:dyDescent="0.25">
      <c r="A61" s="176" t="s">
        <v>303</v>
      </c>
      <c r="B61" s="168" t="s">
        <v>304</v>
      </c>
      <c r="C61" s="168" t="s">
        <v>305</v>
      </c>
      <c r="D61" s="177" t="s">
        <v>306</v>
      </c>
      <c r="E61" s="178"/>
      <c r="F61" s="19"/>
    </row>
    <row r="62" spans="1:10" ht="15" thickBot="1" x14ac:dyDescent="0.25">
      <c r="A62" s="174">
        <v>1</v>
      </c>
      <c r="B62" s="174">
        <v>40</v>
      </c>
      <c r="C62" s="179">
        <v>0.75</v>
      </c>
      <c r="D62" s="180">
        <f>IF('B1_Allgemeine Angaben'!L47&lt;A63,C62,IF('B1_Allgemeine Angaben'!L47&lt;A64,C63,IF('B1_Allgemeine Angaben'!L47&lt;A65,C64,C65)))</f>
        <v>0.75</v>
      </c>
      <c r="E62" s="181"/>
      <c r="F62" s="19"/>
    </row>
    <row r="63" spans="1:10" x14ac:dyDescent="0.2">
      <c r="A63" s="174">
        <v>41</v>
      </c>
      <c r="B63" s="174">
        <v>80</v>
      </c>
      <c r="C63" s="182">
        <v>1</v>
      </c>
      <c r="F63" s="19"/>
    </row>
    <row r="64" spans="1:10" x14ac:dyDescent="0.2">
      <c r="A64" s="174">
        <v>81</v>
      </c>
      <c r="B64" s="174">
        <v>150</v>
      </c>
      <c r="C64" s="182">
        <v>1.25</v>
      </c>
      <c r="F64" s="19"/>
    </row>
    <row r="65" spans="1:8" x14ac:dyDescent="0.2">
      <c r="A65" s="174">
        <v>151</v>
      </c>
      <c r="B65" s="174" t="s">
        <v>307</v>
      </c>
      <c r="C65" s="182">
        <v>2</v>
      </c>
      <c r="F65" s="19"/>
    </row>
    <row r="66" spans="1:8" x14ac:dyDescent="0.2">
      <c r="A66" s="183"/>
      <c r="B66" s="90"/>
      <c r="C66" s="90"/>
      <c r="D66" s="90"/>
      <c r="E66" s="90"/>
      <c r="F66" s="184"/>
    </row>
    <row r="68" spans="1:8" ht="42.75" x14ac:dyDescent="0.2">
      <c r="A68" s="186"/>
      <c r="B68" s="186" t="s">
        <v>310</v>
      </c>
      <c r="C68" s="186" t="s">
        <v>311</v>
      </c>
      <c r="D68" s="186" t="s">
        <v>312</v>
      </c>
      <c r="E68" s="187" t="s">
        <v>313</v>
      </c>
      <c r="F68" s="186" t="s">
        <v>314</v>
      </c>
    </row>
    <row r="69" spans="1:8" x14ac:dyDescent="0.2">
      <c r="A69" s="188" t="s">
        <v>57</v>
      </c>
      <c r="B69" s="189">
        <f>B1_Kalkulation!H14</f>
        <v>0</v>
      </c>
      <c r="C69" s="190">
        <f>B1_Kalkulation!I20</f>
        <v>0</v>
      </c>
      <c r="D69" s="174" t="e">
        <f>B69/C69</f>
        <v>#DIV/0!</v>
      </c>
      <c r="E69" s="191" t="e">
        <f>D69/$D$74</f>
        <v>#DIV/0!</v>
      </c>
      <c r="F69" s="174" t="e">
        <f>E69*$F$76</f>
        <v>#DIV/0!</v>
      </c>
    </row>
    <row r="70" spans="1:8" x14ac:dyDescent="0.2">
      <c r="A70" s="188" t="s">
        <v>58</v>
      </c>
      <c r="B70" s="189">
        <f>B1_Kalkulation!I14</f>
        <v>0</v>
      </c>
      <c r="C70" s="190">
        <f>B1_Kalkulation!I21</f>
        <v>0</v>
      </c>
      <c r="D70" s="174" t="e">
        <f>B70/C70</f>
        <v>#DIV/0!</v>
      </c>
      <c r="E70" s="191" t="e">
        <f>D70/$D$74</f>
        <v>#DIV/0!</v>
      </c>
      <c r="F70" s="174" t="e">
        <f>E70*$F$76</f>
        <v>#DIV/0!</v>
      </c>
    </row>
    <row r="71" spans="1:8" x14ac:dyDescent="0.2">
      <c r="A71" s="188" t="s">
        <v>59</v>
      </c>
      <c r="B71" s="189">
        <f>B1_Kalkulation!J14</f>
        <v>0</v>
      </c>
      <c r="C71" s="190">
        <f>B1_Kalkulation!I22</f>
        <v>0</v>
      </c>
      <c r="D71" s="174" t="e">
        <f>B71/C71</f>
        <v>#DIV/0!</v>
      </c>
      <c r="E71" s="191" t="e">
        <f>D71/$D$74</f>
        <v>#DIV/0!</v>
      </c>
      <c r="F71" s="174" t="e">
        <f>E71*$F$76</f>
        <v>#DIV/0!</v>
      </c>
    </row>
    <row r="72" spans="1:8" x14ac:dyDescent="0.2">
      <c r="A72" s="188" t="s">
        <v>60</v>
      </c>
      <c r="B72" s="189">
        <f>B1_Kalkulation!K14</f>
        <v>0</v>
      </c>
      <c r="C72" s="190">
        <f>B1_Kalkulation!I23</f>
        <v>0</v>
      </c>
      <c r="D72" s="174" t="e">
        <f>B72/C72</f>
        <v>#DIV/0!</v>
      </c>
      <c r="E72" s="191" t="e">
        <f>D72/$D$74</f>
        <v>#DIV/0!</v>
      </c>
      <c r="F72" s="174" t="e">
        <f>E72*$F$76</f>
        <v>#DIV/0!</v>
      </c>
    </row>
    <row r="73" spans="1:8" ht="15" thickBot="1" x14ac:dyDescent="0.25">
      <c r="A73" s="192" t="s">
        <v>61</v>
      </c>
      <c r="B73" s="193">
        <f>B1_Kalkulation!L14</f>
        <v>0</v>
      </c>
      <c r="C73" s="194">
        <f>B1_Kalkulation!I24</f>
        <v>0</v>
      </c>
      <c r="D73" s="195" t="e">
        <f>B73/C73</f>
        <v>#DIV/0!</v>
      </c>
      <c r="E73" s="196" t="e">
        <f>D73/$D$74</f>
        <v>#DIV/0!</v>
      </c>
      <c r="F73" s="174" t="e">
        <f>E73*$F$76</f>
        <v>#DIV/0!</v>
      </c>
    </row>
    <row r="74" spans="1:8" x14ac:dyDescent="0.2">
      <c r="A74" s="197" t="s">
        <v>315</v>
      </c>
      <c r="B74" s="198">
        <f>SUM(B69:B73)</f>
        <v>0</v>
      </c>
      <c r="C74" s="199"/>
      <c r="D74" s="199" t="e">
        <f>SUM(D69:D73)</f>
        <v>#DIV/0!</v>
      </c>
      <c r="E74" s="200">
        <v>1</v>
      </c>
      <c r="F74" s="201" t="e">
        <f>SUM(F69:F73)</f>
        <v>#DIV/0!</v>
      </c>
    </row>
    <row r="75" spans="1:8" x14ac:dyDescent="0.2">
      <c r="A75" s="188" t="s">
        <v>316</v>
      </c>
      <c r="B75" s="168"/>
      <c r="C75" s="168"/>
      <c r="D75" s="206">
        <f>D62</f>
        <v>0.75</v>
      </c>
      <c r="E75" s="202"/>
      <c r="F75" s="203"/>
    </row>
    <row r="76" spans="1:8" ht="29.25" thickBot="1" x14ac:dyDescent="0.25">
      <c r="A76" s="207" t="s">
        <v>317</v>
      </c>
      <c r="B76" s="204"/>
      <c r="C76" s="204"/>
      <c r="D76" s="205" t="e">
        <f>SUM(D74:D75)</f>
        <v>#DIV/0!</v>
      </c>
      <c r="E76" s="204"/>
      <c r="F76" s="205" t="e">
        <f>D76*B1_Kalkulation!L26</f>
        <v>#DIV/0!</v>
      </c>
    </row>
    <row r="77" spans="1:8" ht="15" thickTop="1" x14ac:dyDescent="0.2">
      <c r="A77" s="342"/>
    </row>
    <row r="78" spans="1:8" ht="15" customHeight="1" thickBot="1" x14ac:dyDescent="0.25">
      <c r="A78" s="1296" t="s">
        <v>329</v>
      </c>
      <c r="B78" s="1296"/>
      <c r="C78" s="1296"/>
      <c r="D78" s="1296"/>
      <c r="E78" s="1296"/>
      <c r="F78" s="1296"/>
      <c r="G78" s="1296"/>
      <c r="H78" s="1296"/>
    </row>
    <row r="79" spans="1:8" x14ac:dyDescent="0.2">
      <c r="A79" s="308"/>
      <c r="B79" s="1309" t="s">
        <v>320</v>
      </c>
      <c r="C79" s="1310"/>
      <c r="D79" s="1310"/>
      <c r="E79" s="1311"/>
      <c r="F79" s="1309" t="s">
        <v>321</v>
      </c>
      <c r="G79" s="1312"/>
      <c r="H79" s="1305" t="s">
        <v>322</v>
      </c>
    </row>
    <row r="80" spans="1:8" ht="57" x14ac:dyDescent="0.2">
      <c r="A80" s="309"/>
      <c r="B80" s="310" t="s">
        <v>310</v>
      </c>
      <c r="C80" s="311" t="s">
        <v>323</v>
      </c>
      <c r="D80" s="312" t="s">
        <v>324</v>
      </c>
      <c r="E80" s="313" t="s">
        <v>325</v>
      </c>
      <c r="F80" s="310" t="s">
        <v>324</v>
      </c>
      <c r="G80" s="314" t="s">
        <v>326</v>
      </c>
      <c r="H80" s="1306"/>
    </row>
    <row r="81" spans="1:8" x14ac:dyDescent="0.2">
      <c r="A81" s="315" t="s">
        <v>57</v>
      </c>
      <c r="B81" s="316">
        <f>B1_Kalkulation!H14</f>
        <v>0</v>
      </c>
      <c r="C81" s="317">
        <f>B1_Kalkulation!I20</f>
        <v>0</v>
      </c>
      <c r="D81" s="318">
        <f>IFERROR(B81/C81,0)</f>
        <v>0</v>
      </c>
      <c r="E81" s="319">
        <f>IFERROR(D81/$D$86,0)</f>
        <v>0</v>
      </c>
      <c r="F81" s="320">
        <f>IFERROR($D$88*E81,0)</f>
        <v>0</v>
      </c>
      <c r="G81" s="321">
        <f>IF(F81=0,C81,B81/F81)</f>
        <v>0</v>
      </c>
      <c r="H81" s="322" t="e">
        <f>ROUND(B81/G81,3)</f>
        <v>#DIV/0!</v>
      </c>
    </row>
    <row r="82" spans="1:8" x14ac:dyDescent="0.2">
      <c r="A82" s="315" t="s">
        <v>58</v>
      </c>
      <c r="B82" s="316">
        <f>B1_Kalkulation!I14</f>
        <v>0</v>
      </c>
      <c r="C82" s="317">
        <f>B1_Kalkulation!I21</f>
        <v>0</v>
      </c>
      <c r="D82" s="318">
        <f>IFERROR(B82/C82,0)</f>
        <v>0</v>
      </c>
      <c r="E82" s="319">
        <f>IFERROR(D82/$D$86,0)</f>
        <v>0</v>
      </c>
      <c r="F82" s="320">
        <f>IFERROR($D$88*E82,0)</f>
        <v>0</v>
      </c>
      <c r="G82" s="321">
        <f>IFERROR(B82/F82,0)</f>
        <v>0</v>
      </c>
      <c r="H82" s="322" t="e">
        <f>ROUND(B82/G82,3)</f>
        <v>#DIV/0!</v>
      </c>
    </row>
    <row r="83" spans="1:8" x14ac:dyDescent="0.2">
      <c r="A83" s="315" t="s">
        <v>59</v>
      </c>
      <c r="B83" s="316">
        <f>B1_Kalkulation!J14</f>
        <v>0</v>
      </c>
      <c r="C83" s="317">
        <f>B1_Kalkulation!I22</f>
        <v>0</v>
      </c>
      <c r="D83" s="318">
        <f>IFERROR(B83/C83,0)</f>
        <v>0</v>
      </c>
      <c r="E83" s="319">
        <f>IFERROR(D83/$D$86,0)</f>
        <v>0</v>
      </c>
      <c r="F83" s="320">
        <f>IFERROR($D$88*E83,0)</f>
        <v>0</v>
      </c>
      <c r="G83" s="321">
        <f>IFERROR(B83/F83,0)</f>
        <v>0</v>
      </c>
      <c r="H83" s="322" t="e">
        <f>ROUND(B83/G83,3)</f>
        <v>#DIV/0!</v>
      </c>
    </row>
    <row r="84" spans="1:8" x14ac:dyDescent="0.2">
      <c r="A84" s="315" t="s">
        <v>60</v>
      </c>
      <c r="B84" s="316">
        <f>B1_Kalkulation!K14</f>
        <v>0</v>
      </c>
      <c r="C84" s="317">
        <f>B1_Kalkulation!I23</f>
        <v>0</v>
      </c>
      <c r="D84" s="318">
        <f>IFERROR(B84/C84,0)</f>
        <v>0</v>
      </c>
      <c r="E84" s="319">
        <f>IFERROR(D84/$D$86,0)</f>
        <v>0</v>
      </c>
      <c r="F84" s="320">
        <f>IFERROR($D$88*E84,0)</f>
        <v>0</v>
      </c>
      <c r="G84" s="321">
        <f>IFERROR(B84/F84,0)</f>
        <v>0</v>
      </c>
      <c r="H84" s="322" t="e">
        <f>ROUND(B84/G84,3)</f>
        <v>#DIV/0!</v>
      </c>
    </row>
    <row r="85" spans="1:8" x14ac:dyDescent="0.2">
      <c r="A85" s="315" t="s">
        <v>61</v>
      </c>
      <c r="B85" s="323">
        <f>B1_Kalkulation!L14</f>
        <v>0</v>
      </c>
      <c r="C85" s="317">
        <f>B1_Kalkulation!I24</f>
        <v>0</v>
      </c>
      <c r="D85" s="324">
        <f>IFERROR(B85/C85,0)</f>
        <v>0</v>
      </c>
      <c r="E85" s="319">
        <f>IFERROR(D85/$D$86,0)</f>
        <v>0</v>
      </c>
      <c r="F85" s="320">
        <f>IFERROR($D$88*E85,0)</f>
        <v>0</v>
      </c>
      <c r="G85" s="321">
        <f>IF(F85=0,C85,B85/F85)</f>
        <v>0</v>
      </c>
      <c r="H85" s="322" t="e">
        <f>ROUND(B85/G85,3)</f>
        <v>#DIV/0!</v>
      </c>
    </row>
    <row r="86" spans="1:8" ht="15" thickBot="1" x14ac:dyDescent="0.25">
      <c r="A86" s="325" t="s">
        <v>315</v>
      </c>
      <c r="B86" s="326"/>
      <c r="C86" s="327"/>
      <c r="D86" s="328">
        <f>SUM(D81:D85)</f>
        <v>0</v>
      </c>
      <c r="E86" s="329">
        <f>SUM(E81:E85)</f>
        <v>0</v>
      </c>
      <c r="F86" s="330"/>
      <c r="G86" s="252"/>
      <c r="H86" s="331"/>
    </row>
    <row r="87" spans="1:8" ht="15" thickTop="1" x14ac:dyDescent="0.2">
      <c r="A87" s="332"/>
      <c r="B87" s="1307" t="s">
        <v>327</v>
      </c>
      <c r="C87" s="1308"/>
      <c r="D87" s="333" t="str">
        <f>B1_Kalkulation!J25</f>
        <v/>
      </c>
      <c r="F87" s="334"/>
      <c r="G87" s="252"/>
      <c r="H87" s="331"/>
    </row>
    <row r="88" spans="1:8" ht="15" thickBot="1" x14ac:dyDescent="0.25">
      <c r="A88" s="335" t="s">
        <v>328</v>
      </c>
      <c r="B88" s="336">
        <f>SUM(B81:B85)</f>
        <v>0</v>
      </c>
      <c r="C88" s="337"/>
      <c r="D88" s="338">
        <f>SUM(D86:D87)</f>
        <v>0</v>
      </c>
      <c r="E88" s="339"/>
      <c r="F88" s="340">
        <f>SUM(F81:F87)</f>
        <v>0</v>
      </c>
      <c r="G88" s="339"/>
      <c r="H88" s="341" t="e">
        <f>SUM(H81:H87)</f>
        <v>#DIV/0!</v>
      </c>
    </row>
    <row r="89" spans="1:8" ht="15" thickTop="1" x14ac:dyDescent="0.2"/>
    <row r="90" spans="1:8" x14ac:dyDescent="0.2">
      <c r="A90" s="722" t="s">
        <v>358</v>
      </c>
      <c r="B90" s="723"/>
      <c r="C90" s="723"/>
      <c r="D90" s="723"/>
      <c r="E90" s="723"/>
      <c r="F90" s="723"/>
    </row>
    <row r="91" spans="1:8" ht="28.5" x14ac:dyDescent="0.2">
      <c r="A91" s="720" t="s">
        <v>332</v>
      </c>
      <c r="B91" s="1298" t="s">
        <v>927</v>
      </c>
      <c r="C91" s="1299"/>
      <c r="D91" s="721" t="s">
        <v>332</v>
      </c>
      <c r="E91" s="1300" t="s">
        <v>926</v>
      </c>
      <c r="F91" s="1301"/>
      <c r="G91" s="788" t="s">
        <v>489</v>
      </c>
    </row>
    <row r="92" spans="1:8" ht="14.25" customHeight="1" x14ac:dyDescent="0.2">
      <c r="A92" s="720"/>
      <c r="B92" s="188" t="s">
        <v>361</v>
      </c>
      <c r="C92" s="188" t="s">
        <v>339</v>
      </c>
      <c r="D92" s="721"/>
      <c r="E92" s="188" t="s">
        <v>361</v>
      </c>
      <c r="F92" s="188" t="s">
        <v>339</v>
      </c>
      <c r="G92" s="788" t="s">
        <v>491</v>
      </c>
    </row>
    <row r="93" spans="1:8" x14ac:dyDescent="0.2">
      <c r="A93" s="737"/>
      <c r="B93" s="737"/>
      <c r="C93" s="737"/>
      <c r="D93" t="s">
        <v>462</v>
      </c>
      <c r="E93" s="769">
        <v>0.02</v>
      </c>
      <c r="F93" s="713">
        <v>0.02</v>
      </c>
      <c r="G93" s="788" t="s">
        <v>490</v>
      </c>
    </row>
    <row r="94" spans="1:8" x14ac:dyDescent="0.2">
      <c r="A94" s="368" t="s">
        <v>359</v>
      </c>
      <c r="B94" s="1198">
        <v>8.5000000000000006E-2</v>
      </c>
      <c r="C94" s="1134">
        <v>2.5000000000000001E-2</v>
      </c>
      <c r="D94" s="174" t="s">
        <v>454</v>
      </c>
      <c r="E94" s="1197">
        <v>5.1499999999999997E-2</v>
      </c>
      <c r="F94" s="713">
        <v>0.03</v>
      </c>
      <c r="G94" s="1" t="s">
        <v>1034</v>
      </c>
    </row>
    <row r="95" spans="1:8" x14ac:dyDescent="0.2">
      <c r="A95" s="368" t="s">
        <v>140</v>
      </c>
      <c r="B95" s="1198">
        <v>3.6499999999999998E-2</v>
      </c>
      <c r="C95" s="1134">
        <v>0.03</v>
      </c>
      <c r="D95" s="174" t="s">
        <v>455</v>
      </c>
      <c r="E95" s="1197">
        <v>5.1499999999999997E-2</v>
      </c>
      <c r="F95" s="713">
        <v>0.03</v>
      </c>
    </row>
    <row r="96" spans="1:8" ht="25.5" x14ac:dyDescent="0.2">
      <c r="A96" s="369" t="s">
        <v>360</v>
      </c>
      <c r="B96" s="1198">
        <v>4.1500000000000002E-2</v>
      </c>
      <c r="C96" s="1134">
        <v>0.03</v>
      </c>
      <c r="D96" s="174" t="s">
        <v>456</v>
      </c>
      <c r="E96" s="1197">
        <v>4.1000000000000002E-2</v>
      </c>
      <c r="F96" s="713">
        <v>0.02</v>
      </c>
    </row>
    <row r="97" spans="1:20" ht="15.75" thickBot="1" x14ac:dyDescent="0.3">
      <c r="A97" s="366"/>
      <c r="D97" s="739" t="s">
        <v>457</v>
      </c>
      <c r="E97" s="740">
        <f>ROUND(IFERROR(AVERAGE(E93:E96),""),3)</f>
        <v>4.1000000000000002E-2</v>
      </c>
      <c r="F97" s="740">
        <f>ROUND(IFERROR(AVERAGE(F93:F96),""),3)</f>
        <v>2.5000000000000001E-2</v>
      </c>
    </row>
    <row r="98" spans="1:20" ht="31.5" customHeight="1" thickBot="1" x14ac:dyDescent="0.25">
      <c r="A98" s="394" t="s">
        <v>388</v>
      </c>
      <c r="B98" s="1320" t="s">
        <v>932</v>
      </c>
      <c r="C98" s="1321"/>
      <c r="D98" s="1322"/>
    </row>
    <row r="99" spans="1:20" ht="15" thickBot="1" x14ac:dyDescent="0.25">
      <c r="A99" s="395" t="s">
        <v>389</v>
      </c>
      <c r="B99" s="396" t="s">
        <v>390</v>
      </c>
      <c r="C99" s="397" t="s">
        <v>391</v>
      </c>
      <c r="D99" s="406" t="s">
        <v>392</v>
      </c>
      <c r="F99" s="1293" t="s">
        <v>461</v>
      </c>
      <c r="G99" s="1294"/>
      <c r="H99" s="1294"/>
      <c r="I99" s="1295"/>
      <c r="M99" s="1283" t="s">
        <v>969</v>
      </c>
      <c r="N99" s="1284"/>
      <c r="O99" s="1284"/>
      <c r="P99" s="1284"/>
      <c r="Q99" s="1284"/>
      <c r="R99" s="1284"/>
      <c r="S99" s="1284"/>
      <c r="T99" s="1284"/>
    </row>
    <row r="100" spans="1:20" ht="28.5" x14ac:dyDescent="0.2">
      <c r="A100" s="398" t="s">
        <v>393</v>
      </c>
      <c r="B100" s="1131">
        <f>16.4%+0.8%</f>
        <v>0.17199999999999999</v>
      </c>
      <c r="C100" s="414">
        <f>B100/2</f>
        <v>8.5999999999999993E-2</v>
      </c>
      <c r="D100" s="411">
        <f>C100</f>
        <v>8.5999999999999993E-2</v>
      </c>
      <c r="F100" s="1297" t="s">
        <v>253</v>
      </c>
      <c r="G100" s="1297"/>
      <c r="H100" s="688" t="s">
        <v>460</v>
      </c>
      <c r="I100" s="769">
        <v>0.05</v>
      </c>
      <c r="J100" s="788" t="s">
        <v>487</v>
      </c>
      <c r="M100" s="1150" t="s">
        <v>960</v>
      </c>
      <c r="N100" s="1150" t="s">
        <v>961</v>
      </c>
      <c r="O100" s="1150" t="s">
        <v>962</v>
      </c>
      <c r="P100" s="1151" t="s">
        <v>970</v>
      </c>
      <c r="Q100" s="1151" t="s">
        <v>968</v>
      </c>
      <c r="R100" s="1148" t="s">
        <v>964</v>
      </c>
      <c r="S100" s="1146"/>
      <c r="T100" s="1147"/>
    </row>
    <row r="101" spans="1:20" x14ac:dyDescent="0.2">
      <c r="A101" s="399" t="s">
        <v>394</v>
      </c>
      <c r="B101" s="416">
        <f>C101*2</f>
        <v>0.186</v>
      </c>
      <c r="C101" s="414">
        <v>9.2999999999999999E-2</v>
      </c>
      <c r="D101" s="411">
        <f t="shared" ref="D101:D102" si="0">C101</f>
        <v>9.2999999999999999E-2</v>
      </c>
      <c r="F101" s="1297" t="s">
        <v>254</v>
      </c>
      <c r="G101" s="1297"/>
      <c r="H101" s="688" t="s">
        <v>460</v>
      </c>
      <c r="I101" s="768">
        <f>I100</f>
        <v>0.05</v>
      </c>
      <c r="M101" s="1152">
        <f>IF(B1_Kalkulation!K19="Beförderung intern (Preis):",1,0)</f>
        <v>0</v>
      </c>
      <c r="N101" s="1153">
        <f>B1_Kalkulation!F19*(100%+B1_Kalkulation!M19)</f>
        <v>0</v>
      </c>
      <c r="O101" s="1152">
        <f>IF(N101&gt;I105,I105,N101)</f>
        <v>0</v>
      </c>
      <c r="P101" s="428">
        <f>IF(N101&gt;I105,1,0)</f>
        <v>0</v>
      </c>
      <c r="Q101" t="s">
        <v>972</v>
      </c>
      <c r="R101" s="20" t="s">
        <v>958</v>
      </c>
      <c r="T101" s="19"/>
    </row>
    <row r="102" spans="1:20" x14ac:dyDescent="0.2">
      <c r="A102" s="399" t="s">
        <v>395</v>
      </c>
      <c r="B102" s="416">
        <f>C102*2</f>
        <v>2.5999999999999999E-2</v>
      </c>
      <c r="C102" s="414">
        <v>1.2999999999999999E-2</v>
      </c>
      <c r="D102" s="411">
        <f t="shared" si="0"/>
        <v>1.2999999999999999E-2</v>
      </c>
      <c r="F102" s="1297" t="s">
        <v>255</v>
      </c>
      <c r="G102" s="1297"/>
      <c r="H102" s="688" t="s">
        <v>460</v>
      </c>
      <c r="I102" s="768">
        <v>0.05</v>
      </c>
      <c r="M102" s="1152">
        <f>IF(B1_Kalkulation!K19="Beförderung extern (Preis):",2,0)</f>
        <v>0</v>
      </c>
      <c r="N102" s="1153">
        <f>B1_Kalkulation!F19*(100%+B1_Kalkulation!M19)</f>
        <v>0</v>
      </c>
      <c r="O102" s="1152">
        <f>IF(N102&gt;I106,I106,N102)</f>
        <v>0</v>
      </c>
      <c r="P102" s="428">
        <f>IF(N102&gt;I106,2,0)</f>
        <v>0</v>
      </c>
      <c r="Q102" t="s">
        <v>971</v>
      </c>
      <c r="R102" s="20" t="s">
        <v>959</v>
      </c>
      <c r="T102" s="19"/>
    </row>
    <row r="103" spans="1:20" ht="21" customHeight="1" thickBot="1" x14ac:dyDescent="0.3">
      <c r="A103" s="399" t="s">
        <v>396</v>
      </c>
      <c r="B103" s="853">
        <f>3.4%+0.2%</f>
        <v>3.6000000000000004E-2</v>
      </c>
      <c r="C103" s="414">
        <f>1.2%+0.1%</f>
        <v>1.3000000000000001E-2</v>
      </c>
      <c r="D103" s="1135">
        <f>2.2%+0.1%</f>
        <v>2.3000000000000003E-2</v>
      </c>
      <c r="F103" s="1313" t="s">
        <v>256</v>
      </c>
      <c r="G103" s="1313"/>
      <c r="H103" s="688" t="s">
        <v>460</v>
      </c>
      <c r="I103" s="770">
        <v>0.05</v>
      </c>
      <c r="M103" s="1154">
        <f>SUM(M101:M102)</f>
        <v>0</v>
      </c>
      <c r="N103" s="1154"/>
      <c r="O103" s="1154">
        <f>IF(M103=1,O101,IF(M103=2,O102,0))</f>
        <v>0</v>
      </c>
      <c r="P103" s="1155"/>
      <c r="Q103" s="1155" t="str">
        <f>IF(M101+P101=2,Q101,IF(M102+P102=4,Q102,""))</f>
        <v/>
      </c>
      <c r="R103" s="1277" t="s">
        <v>963</v>
      </c>
      <c r="S103" s="1278"/>
      <c r="T103" s="1279"/>
    </row>
    <row r="104" spans="1:20" ht="22.5" customHeight="1" thickTop="1" thickBot="1" x14ac:dyDescent="0.25">
      <c r="A104" s="400" t="s">
        <v>397</v>
      </c>
      <c r="B104" s="408"/>
      <c r="C104" s="412">
        <f>(C103+C102+C101+C100)</f>
        <v>0.20499999999999999</v>
      </c>
      <c r="D104" s="407"/>
      <c r="F104" s="1314" t="s">
        <v>264</v>
      </c>
      <c r="G104" s="1314"/>
      <c r="H104" s="1138" t="s">
        <v>460</v>
      </c>
      <c r="I104" s="1139">
        <v>0.05</v>
      </c>
      <c r="M104" s="1149"/>
      <c r="N104" s="1145"/>
      <c r="O104" s="1145"/>
      <c r="P104" s="1145"/>
      <c r="Q104" s="1145"/>
      <c r="R104" s="1280"/>
      <c r="S104" s="1281"/>
      <c r="T104" s="1282"/>
    </row>
    <row r="105" spans="1:20" ht="15" x14ac:dyDescent="0.25">
      <c r="A105" s="401" t="s">
        <v>398</v>
      </c>
      <c r="B105" s="402" t="s">
        <v>399</v>
      </c>
      <c r="C105" s="1132">
        <v>6.4000000000000003E-3</v>
      </c>
      <c r="D105" s="409"/>
      <c r="F105" s="1319" t="s">
        <v>951</v>
      </c>
      <c r="G105" s="1319"/>
      <c r="H105" s="688" t="s">
        <v>460</v>
      </c>
      <c r="I105" s="1141">
        <v>18.5</v>
      </c>
      <c r="J105" s="20" t="s">
        <v>942</v>
      </c>
    </row>
    <row r="106" spans="1:20" ht="15.75" thickBot="1" x14ac:dyDescent="0.3">
      <c r="A106" s="401" t="s">
        <v>401</v>
      </c>
      <c r="B106" s="402" t="s">
        <v>402</v>
      </c>
      <c r="C106" s="419">
        <v>2.1499999999999998E-2</v>
      </c>
      <c r="D106" s="404"/>
      <c r="F106" s="183" t="s">
        <v>952</v>
      </c>
      <c r="G106" s="90"/>
      <c r="H106" s="688" t="s">
        <v>460</v>
      </c>
      <c r="I106" s="1141">
        <v>21</v>
      </c>
      <c r="J106" s="1144" t="s">
        <v>942</v>
      </c>
    </row>
    <row r="107" spans="1:20" ht="15" thickBot="1" x14ac:dyDescent="0.25">
      <c r="A107" s="403" t="s">
        <v>403</v>
      </c>
      <c r="B107" s="396"/>
      <c r="C107" s="420">
        <v>5.9999999999999995E-4</v>
      </c>
      <c r="D107" s="404"/>
      <c r="F107" s="176" t="s">
        <v>1022</v>
      </c>
      <c r="G107" s="178"/>
      <c r="N107" s="811"/>
    </row>
    <row r="108" spans="1:20" ht="15" thickBot="1" x14ac:dyDescent="0.25">
      <c r="A108" s="1317" t="s">
        <v>400</v>
      </c>
      <c r="B108" s="1318"/>
      <c r="C108" s="421">
        <f>(C104+C105+C107)</f>
        <v>0.21199999999999997</v>
      </c>
      <c r="D108" s="404"/>
      <c r="F108" s="1315" t="s">
        <v>433</v>
      </c>
      <c r="G108" s="1316"/>
      <c r="H108" s="1140" t="s">
        <v>435</v>
      </c>
      <c r="I108" s="1142">
        <v>3.5000000000000003E-2</v>
      </c>
      <c r="J108" s="811" t="s">
        <v>943</v>
      </c>
      <c r="N108" s="811"/>
    </row>
    <row r="109" spans="1:20" ht="15" thickBot="1" x14ac:dyDescent="0.25">
      <c r="A109" s="1317" t="s">
        <v>404</v>
      </c>
      <c r="B109" s="1318"/>
      <c r="C109" s="421">
        <f>C108+C106</f>
        <v>0.23349999999999996</v>
      </c>
      <c r="D109" s="405"/>
      <c r="F109" s="1136" t="s">
        <v>434</v>
      </c>
      <c r="G109" s="1137"/>
      <c r="H109" s="688" t="s">
        <v>435</v>
      </c>
      <c r="I109" s="1143">
        <v>0.05</v>
      </c>
      <c r="J109" s="811" t="s">
        <v>944</v>
      </c>
    </row>
    <row r="110" spans="1:20" ht="15" thickBot="1" x14ac:dyDescent="0.25"/>
    <row r="111" spans="1:20" ht="42" customHeight="1" x14ac:dyDescent="0.25">
      <c r="A111" s="1302" t="s">
        <v>463</v>
      </c>
      <c r="B111" s="1303"/>
      <c r="C111" s="1304"/>
      <c r="D111" s="788" t="s">
        <v>492</v>
      </c>
    </row>
    <row r="112" spans="1:20" ht="15" x14ac:dyDescent="0.25">
      <c r="A112" s="699" t="s">
        <v>444</v>
      </c>
      <c r="B112" s="922">
        <v>12.82</v>
      </c>
      <c r="C112" s="700"/>
      <c r="F112" s="239"/>
      <c r="G112" s="239"/>
      <c r="H112" s="174" t="s">
        <v>770</v>
      </c>
      <c r="I112" s="174"/>
    </row>
    <row r="113" spans="1:9" x14ac:dyDescent="0.2">
      <c r="A113" s="699" t="s">
        <v>445</v>
      </c>
      <c r="B113" s="701">
        <f>8*5*13/3*12</f>
        <v>2080</v>
      </c>
      <c r="C113" s="700" t="s">
        <v>446</v>
      </c>
      <c r="H113" s="923">
        <v>12.41</v>
      </c>
      <c r="I113" s="924">
        <v>45292</v>
      </c>
    </row>
    <row r="114" spans="1:9" x14ac:dyDescent="0.2">
      <c r="A114" s="699" t="s">
        <v>447</v>
      </c>
      <c r="B114" s="702">
        <f>B113*B112</f>
        <v>26665.600000000002</v>
      </c>
      <c r="C114" s="700"/>
      <c r="H114" s="923">
        <v>12.82</v>
      </c>
      <c r="I114" s="924">
        <v>45658</v>
      </c>
    </row>
    <row r="115" spans="1:9" x14ac:dyDescent="0.2">
      <c r="A115" s="699" t="s">
        <v>448</v>
      </c>
      <c r="B115" s="702">
        <f>B114*C115</f>
        <v>0</v>
      </c>
      <c r="C115" s="712">
        <f>B1_Berechnung!$H$12</f>
        <v>0</v>
      </c>
      <c r="E115" s="702"/>
    </row>
    <row r="116" spans="1:9" x14ac:dyDescent="0.2">
      <c r="A116" s="703" t="s">
        <v>449</v>
      </c>
      <c r="B116" s="704">
        <f>B114+B115</f>
        <v>26665.600000000002</v>
      </c>
      <c r="C116" s="705" t="s">
        <v>450</v>
      </c>
    </row>
    <row r="117" spans="1:9" x14ac:dyDescent="0.2">
      <c r="A117" s="699" t="s">
        <v>451</v>
      </c>
      <c r="B117" s="702">
        <f>B114*C117</f>
        <v>533.31200000000001</v>
      </c>
      <c r="C117" s="738">
        <f>IF('B1_Allgemeine Angaben'!$D$7="tst",KAT!F93,KAT!E93)</f>
        <v>0.02</v>
      </c>
    </row>
    <row r="118" spans="1:9" ht="33.75" x14ac:dyDescent="0.2">
      <c r="A118" s="706" t="s">
        <v>449</v>
      </c>
      <c r="B118" s="707">
        <f>B114+B115+B117</f>
        <v>27198.912000000004</v>
      </c>
      <c r="C118" s="708" t="s">
        <v>452</v>
      </c>
    </row>
    <row r="119" spans="1:9" x14ac:dyDescent="0.2">
      <c r="A119" s="724" t="s">
        <v>453</v>
      </c>
      <c r="B119" s="702">
        <f>B118/12</f>
        <v>2266.5760000000005</v>
      </c>
      <c r="C119" s="709"/>
    </row>
    <row r="120" spans="1:9" ht="15" thickBot="1" x14ac:dyDescent="0.25">
      <c r="A120" s="710" t="s">
        <v>449</v>
      </c>
      <c r="B120" s="711">
        <f>B118+B119</f>
        <v>29465.488000000005</v>
      </c>
      <c r="C120" s="714"/>
    </row>
    <row r="121" spans="1:9" ht="29.25" thickBot="1" x14ac:dyDescent="0.25">
      <c r="A121" s="715" t="s">
        <v>458</v>
      </c>
      <c r="B121" s="717">
        <f>B120*102%*102%</f>
        <v>30655.893715200007</v>
      </c>
      <c r="C121" s="716">
        <f>ROUND(B121,-2)</f>
        <v>30700</v>
      </c>
      <c r="D121" s="718" t="s">
        <v>459</v>
      </c>
      <c r="E121" s="719">
        <f>C121+0.009</f>
        <v>30700.008999999998</v>
      </c>
      <c r="F121" s="741" t="s">
        <v>462</v>
      </c>
    </row>
    <row r="122" spans="1:9" ht="15" thickBot="1" x14ac:dyDescent="0.25">
      <c r="F122" s="238"/>
    </row>
    <row r="123" spans="1:9" ht="41.25" customHeight="1" x14ac:dyDescent="0.25">
      <c r="A123" s="1302" t="s">
        <v>464</v>
      </c>
      <c r="B123" s="1303"/>
      <c r="C123" s="1304"/>
      <c r="D123" s="788" t="s">
        <v>492</v>
      </c>
      <c r="F123" s="238"/>
    </row>
    <row r="124" spans="1:9" ht="15" x14ac:dyDescent="0.25">
      <c r="A124" s="699" t="s">
        <v>444</v>
      </c>
      <c r="B124" s="922">
        <v>12.82</v>
      </c>
      <c r="C124" s="700"/>
      <c r="F124" s="238"/>
    </row>
    <row r="125" spans="1:9" x14ac:dyDescent="0.2">
      <c r="A125" s="699" t="s">
        <v>445</v>
      </c>
      <c r="B125" s="701">
        <f>8*5*13/3*12</f>
        <v>2080</v>
      </c>
      <c r="C125" s="700" t="s">
        <v>446</v>
      </c>
      <c r="F125" s="238"/>
    </row>
    <row r="126" spans="1:9" x14ac:dyDescent="0.2">
      <c r="A126" s="699" t="s">
        <v>447</v>
      </c>
      <c r="B126" s="702">
        <f>B125*B124</f>
        <v>26665.600000000002</v>
      </c>
      <c r="C126" s="700"/>
      <c r="F126" s="238"/>
    </row>
    <row r="127" spans="1:9" x14ac:dyDescent="0.2">
      <c r="A127" s="699" t="s">
        <v>448</v>
      </c>
      <c r="B127" s="702">
        <f>B126*C127</f>
        <v>0</v>
      </c>
      <c r="C127" s="712">
        <f>B1_Berechnung!$H$12</f>
        <v>0</v>
      </c>
      <c r="E127" s="702"/>
      <c r="F127" s="238"/>
    </row>
    <row r="128" spans="1:9" x14ac:dyDescent="0.2">
      <c r="A128" s="703" t="s">
        <v>449</v>
      </c>
      <c r="B128" s="704">
        <f>B126+B127</f>
        <v>26665.600000000002</v>
      </c>
      <c r="C128" s="705" t="s">
        <v>450</v>
      </c>
      <c r="F128" s="238"/>
    </row>
    <row r="129" spans="1:6" x14ac:dyDescent="0.2">
      <c r="A129" s="699" t="s">
        <v>451</v>
      </c>
      <c r="B129" s="702">
        <f>B126*C129</f>
        <v>1373.2784000000001</v>
      </c>
      <c r="C129" s="738">
        <f>IF('B1_Allgemeine Angaben'!$D$7="tst",KAT!F94,KAT!E94)</f>
        <v>5.1499999999999997E-2</v>
      </c>
      <c r="F129" s="238"/>
    </row>
    <row r="130" spans="1:6" ht="33.75" x14ac:dyDescent="0.2">
      <c r="A130" s="706" t="s">
        <v>449</v>
      </c>
      <c r="B130" s="707">
        <f>B126+B127+B129</f>
        <v>28038.878400000001</v>
      </c>
      <c r="C130" s="708" t="s">
        <v>452</v>
      </c>
      <c r="F130" s="238"/>
    </row>
    <row r="131" spans="1:6" x14ac:dyDescent="0.2">
      <c r="A131" s="724" t="s">
        <v>453</v>
      </c>
      <c r="B131" s="702">
        <f>B130/12</f>
        <v>2336.5732000000003</v>
      </c>
      <c r="C131" s="709"/>
      <c r="F131" s="238"/>
    </row>
    <row r="132" spans="1:6" ht="15" thickBot="1" x14ac:dyDescent="0.25">
      <c r="A132" s="710" t="s">
        <v>449</v>
      </c>
      <c r="B132" s="711">
        <f>B130+B131</f>
        <v>30375.4516</v>
      </c>
      <c r="C132" s="714"/>
      <c r="F132" s="238"/>
    </row>
    <row r="133" spans="1:6" ht="29.25" thickBot="1" x14ac:dyDescent="0.25">
      <c r="A133" s="715" t="s">
        <v>458</v>
      </c>
      <c r="B133" s="717">
        <f>B132*102%*102%</f>
        <v>31602.619844640001</v>
      </c>
      <c r="C133" s="716">
        <f>ROUND(B133,-2)</f>
        <v>31600</v>
      </c>
      <c r="D133" s="718" t="s">
        <v>459</v>
      </c>
      <c r="E133" s="719">
        <f>C133+0.009</f>
        <v>31600.008999999998</v>
      </c>
      <c r="F133" s="741" t="s">
        <v>454</v>
      </c>
    </row>
    <row r="134" spans="1:6" ht="15" thickBot="1" x14ac:dyDescent="0.25">
      <c r="F134" s="238"/>
    </row>
    <row r="135" spans="1:6" ht="43.5" customHeight="1" x14ac:dyDescent="0.25">
      <c r="A135" s="1302" t="s">
        <v>465</v>
      </c>
      <c r="B135" s="1303"/>
      <c r="C135" s="1304"/>
      <c r="D135" s="788" t="s">
        <v>492</v>
      </c>
      <c r="F135" s="238"/>
    </row>
    <row r="136" spans="1:6" ht="15" x14ac:dyDescent="0.25">
      <c r="A136" s="699" t="s">
        <v>444</v>
      </c>
      <c r="B136" s="922">
        <v>12.82</v>
      </c>
      <c r="C136" s="700"/>
      <c r="F136" s="238"/>
    </row>
    <row r="137" spans="1:6" x14ac:dyDescent="0.2">
      <c r="A137" s="699" t="s">
        <v>445</v>
      </c>
      <c r="B137" s="701">
        <f>8*5*13/3*12</f>
        <v>2080</v>
      </c>
      <c r="C137" s="700" t="s">
        <v>446</v>
      </c>
      <c r="F137" s="238"/>
    </row>
    <row r="138" spans="1:6" x14ac:dyDescent="0.2">
      <c r="A138" s="699" t="s">
        <v>447</v>
      </c>
      <c r="B138" s="702">
        <f>B137*B136</f>
        <v>26665.600000000002</v>
      </c>
      <c r="C138" s="700"/>
      <c r="F138" s="238"/>
    </row>
    <row r="139" spans="1:6" x14ac:dyDescent="0.2">
      <c r="A139" s="699" t="s">
        <v>448</v>
      </c>
      <c r="B139" s="702">
        <f>B138*C139</f>
        <v>0</v>
      </c>
      <c r="C139" s="712">
        <f>B1_Berechnung!$H$12</f>
        <v>0</v>
      </c>
      <c r="E139" s="702"/>
      <c r="F139" s="238"/>
    </row>
    <row r="140" spans="1:6" x14ac:dyDescent="0.2">
      <c r="A140" s="703" t="s">
        <v>449</v>
      </c>
      <c r="B140" s="704">
        <f>B138+B139</f>
        <v>26665.600000000002</v>
      </c>
      <c r="C140" s="705" t="s">
        <v>450</v>
      </c>
      <c r="F140" s="238"/>
    </row>
    <row r="141" spans="1:6" x14ac:dyDescent="0.2">
      <c r="A141" s="699" t="s">
        <v>451</v>
      </c>
      <c r="B141" s="702">
        <f>B138*C141</f>
        <v>1373.2784000000001</v>
      </c>
      <c r="C141" s="738">
        <f>IF('B1_Allgemeine Angaben'!$D$7="tst",KAT!F95,KAT!E95)</f>
        <v>5.1499999999999997E-2</v>
      </c>
      <c r="F141" s="238"/>
    </row>
    <row r="142" spans="1:6" ht="33.75" x14ac:dyDescent="0.2">
      <c r="A142" s="706" t="s">
        <v>449</v>
      </c>
      <c r="B142" s="707">
        <f>B138+B139+B141</f>
        <v>28038.878400000001</v>
      </c>
      <c r="C142" s="708" t="s">
        <v>452</v>
      </c>
      <c r="F142" s="238"/>
    </row>
    <row r="143" spans="1:6" x14ac:dyDescent="0.2">
      <c r="A143" s="724" t="s">
        <v>453</v>
      </c>
      <c r="B143" s="702">
        <f>B142/12</f>
        <v>2336.5732000000003</v>
      </c>
      <c r="C143" s="709"/>
      <c r="F143" s="238"/>
    </row>
    <row r="144" spans="1:6" ht="15" thickBot="1" x14ac:dyDescent="0.25">
      <c r="A144" s="710" t="s">
        <v>449</v>
      </c>
      <c r="B144" s="711">
        <f>B142+B143</f>
        <v>30375.4516</v>
      </c>
      <c r="C144" s="714"/>
      <c r="F144" s="238"/>
    </row>
    <row r="145" spans="1:6" ht="29.25" thickBot="1" x14ac:dyDescent="0.25">
      <c r="A145" s="715" t="s">
        <v>458</v>
      </c>
      <c r="B145" s="717">
        <f>B144*102%*102%</f>
        <v>31602.619844640001</v>
      </c>
      <c r="C145" s="716">
        <f>ROUND(B145,-2)</f>
        <v>31600</v>
      </c>
      <c r="D145" s="718" t="s">
        <v>459</v>
      </c>
      <c r="E145" s="719">
        <f>C145+0.009</f>
        <v>31600.008999999998</v>
      </c>
      <c r="F145" s="741" t="s">
        <v>455</v>
      </c>
    </row>
    <row r="146" spans="1:6" ht="15" thickBot="1" x14ac:dyDescent="0.25">
      <c r="F146" s="238"/>
    </row>
    <row r="147" spans="1:6" ht="46.5" customHeight="1" x14ac:dyDescent="0.25">
      <c r="A147" s="1302" t="s">
        <v>466</v>
      </c>
      <c r="B147" s="1303"/>
      <c r="C147" s="1304"/>
      <c r="D147" s="788" t="s">
        <v>492</v>
      </c>
      <c r="F147" s="238"/>
    </row>
    <row r="148" spans="1:6" ht="15" x14ac:dyDescent="0.25">
      <c r="A148" s="699" t="s">
        <v>444</v>
      </c>
      <c r="B148" s="922">
        <v>12.82</v>
      </c>
      <c r="C148" s="700"/>
      <c r="F148" s="238"/>
    </row>
    <row r="149" spans="1:6" x14ac:dyDescent="0.2">
      <c r="A149" s="699" t="s">
        <v>445</v>
      </c>
      <c r="B149" s="701">
        <f>8*5*13/3*12</f>
        <v>2080</v>
      </c>
      <c r="C149" s="700" t="s">
        <v>446</v>
      </c>
      <c r="F149" s="238"/>
    </row>
    <row r="150" spans="1:6" x14ac:dyDescent="0.2">
      <c r="A150" s="699" t="s">
        <v>447</v>
      </c>
      <c r="B150" s="702">
        <f>B149*B148</f>
        <v>26665.600000000002</v>
      </c>
      <c r="C150" s="700"/>
      <c r="F150" s="238"/>
    </row>
    <row r="151" spans="1:6" x14ac:dyDescent="0.2">
      <c r="A151" s="699" t="s">
        <v>448</v>
      </c>
      <c r="B151" s="702">
        <f>B150*C151</f>
        <v>0</v>
      </c>
      <c r="C151" s="712">
        <f>B1_Berechnung!$H$12</f>
        <v>0</v>
      </c>
      <c r="E151" s="702"/>
      <c r="F151" s="238"/>
    </row>
    <row r="152" spans="1:6" x14ac:dyDescent="0.2">
      <c r="A152" s="703" t="s">
        <v>449</v>
      </c>
      <c r="B152" s="704">
        <f>B150+B151</f>
        <v>26665.600000000002</v>
      </c>
      <c r="C152" s="705" t="s">
        <v>450</v>
      </c>
      <c r="F152" s="238"/>
    </row>
    <row r="153" spans="1:6" x14ac:dyDescent="0.2">
      <c r="A153" s="699" t="s">
        <v>451</v>
      </c>
      <c r="B153" s="702">
        <f>B150*C153</f>
        <v>1093.2896000000001</v>
      </c>
      <c r="C153" s="738">
        <f>IF('B1_Allgemeine Angaben'!$D$7="tst",KAT!F96,KAT!E96)</f>
        <v>4.1000000000000002E-2</v>
      </c>
      <c r="F153" s="238"/>
    </row>
    <row r="154" spans="1:6" ht="33.75" x14ac:dyDescent="0.2">
      <c r="A154" s="706" t="s">
        <v>449</v>
      </c>
      <c r="B154" s="707">
        <f>B150+B151+B153</f>
        <v>27758.889600000002</v>
      </c>
      <c r="C154" s="708" t="s">
        <v>452</v>
      </c>
      <c r="F154" s="238"/>
    </row>
    <row r="155" spans="1:6" x14ac:dyDescent="0.2">
      <c r="A155" s="724" t="s">
        <v>453</v>
      </c>
      <c r="B155" s="702">
        <f>B154/12</f>
        <v>2313.2408</v>
      </c>
      <c r="C155" s="709"/>
      <c r="F155" s="238"/>
    </row>
    <row r="156" spans="1:6" ht="15" thickBot="1" x14ac:dyDescent="0.25">
      <c r="A156" s="710" t="s">
        <v>449</v>
      </c>
      <c r="B156" s="711">
        <f>B154+B155</f>
        <v>30072.130400000002</v>
      </c>
      <c r="C156" s="714"/>
      <c r="F156" s="238"/>
    </row>
    <row r="157" spans="1:6" ht="29.25" thickBot="1" x14ac:dyDescent="0.25">
      <c r="A157" s="715" t="s">
        <v>458</v>
      </c>
      <c r="B157" s="717">
        <f>B156*102%*102%</f>
        <v>31287.044468160002</v>
      </c>
      <c r="C157" s="716">
        <f>ROUND(B157,-2)</f>
        <v>31300</v>
      </c>
      <c r="D157" s="718" t="s">
        <v>459</v>
      </c>
      <c r="E157" s="719">
        <f>C157+0.009</f>
        <v>31300.008999999998</v>
      </c>
      <c r="F157" s="741" t="s">
        <v>456</v>
      </c>
    </row>
    <row r="159" spans="1:6" x14ac:dyDescent="0.2">
      <c r="A159" t="s">
        <v>1050</v>
      </c>
    </row>
    <row r="160" spans="1:6" x14ac:dyDescent="0.2">
      <c r="A160" t="s">
        <v>132</v>
      </c>
      <c r="B160" t="s">
        <v>1051</v>
      </c>
    </row>
  </sheetData>
  <sheetProtection algorithmName="SHA-512" hashValue="6hwQ54mWHwLWJvQcTDbDVIl0LZjFQECanQ/5cG/SoyymDuqHihTb6KrLdMee+KO6UBAagEc5CjH9KkoR0abtDQ==" saltValue="FzC7kW9rymCxWqUh93sTeg==" spinCount="100000" sheet="1" objects="1" scenarios="1"/>
  <customSheetViews>
    <customSheetView guid="{9119B1A0-FD79-4FE4-B78E-10E0AEB8080B}" state="hidden" topLeftCell="A86">
      <selection activeCell="N94" sqref="N94"/>
      <pageMargins left="0.7" right="0.7" top="0.78740157499999996" bottom="0.78740157499999996" header="0.3" footer="0.3"/>
      <pageSetup paperSize="9" orientation="portrait"/>
    </customSheetView>
  </customSheetViews>
  <mergeCells count="28">
    <mergeCell ref="A123:C123"/>
    <mergeCell ref="A135:C135"/>
    <mergeCell ref="A147:C147"/>
    <mergeCell ref="A111:C111"/>
    <mergeCell ref="H79:H80"/>
    <mergeCell ref="B87:C87"/>
    <mergeCell ref="B79:E79"/>
    <mergeCell ref="F79:G79"/>
    <mergeCell ref="F102:G102"/>
    <mergeCell ref="F103:G103"/>
    <mergeCell ref="F104:G104"/>
    <mergeCell ref="F108:G108"/>
    <mergeCell ref="A108:B108"/>
    <mergeCell ref="A109:B109"/>
    <mergeCell ref="F105:G105"/>
    <mergeCell ref="B98:D98"/>
    <mergeCell ref="R103:T104"/>
    <mergeCell ref="M99:T99"/>
    <mergeCell ref="B44:F44"/>
    <mergeCell ref="A48:A49"/>
    <mergeCell ref="A51:A53"/>
    <mergeCell ref="A55:A56"/>
    <mergeCell ref="F99:I99"/>
    <mergeCell ref="A78:H78"/>
    <mergeCell ref="F100:G100"/>
    <mergeCell ref="F101:G101"/>
    <mergeCell ref="B91:C91"/>
    <mergeCell ref="E91:F91"/>
  </mergeCells>
  <phoneticPr fontId="69" type="noConversion"/>
  <pageMargins left="0.70866141732283472" right="0.70866141732283472" top="0.78740157480314965" bottom="0.78740157480314965" header="0.31496062992125984" footer="0.31496062992125984"/>
  <pageSetup paperSize="9" orientation="portrait"/>
  <headerFooter>
    <oddFooter>&amp;C_x000D_&amp;1#&amp;"Calibri"&amp;10&amp;K000000 öffentlich</oddFooter>
  </headerFooter>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P295"/>
  <sheetViews>
    <sheetView showGridLines="0" tabSelected="1" showWhiteSpace="0" zoomScaleNormal="100" workbookViewId="0">
      <selection sqref="A1:G2"/>
    </sheetView>
  </sheetViews>
  <sheetFormatPr baseColWidth="10" defaultRowHeight="14.25" x14ac:dyDescent="0.2"/>
  <cols>
    <col min="1" max="1" width="3.875" customWidth="1"/>
    <col min="2" max="2" width="18" customWidth="1"/>
    <col min="7" max="7" width="13.5" customWidth="1"/>
    <col min="8" max="16" width="11" style="252"/>
  </cols>
  <sheetData>
    <row r="1" spans="1:8" ht="14.25" customHeight="1" x14ac:dyDescent="0.2">
      <c r="A1" s="1323" t="str">
        <f>'B1_Allgemeine Angaben'!A1:N1</f>
        <v>Vereinfachtes Verfahren der Aufforderung zum Abschluss einer Pflegesatzvereinbarung gemäß § 84, 85 SGB XI mit Orientierung auf das regional übliche Entgeltniveau (Stand 31.10.2024)</v>
      </c>
      <c r="B1" s="1324"/>
      <c r="C1" s="1324"/>
      <c r="D1" s="1324"/>
      <c r="E1" s="1324"/>
      <c r="F1" s="1324"/>
      <c r="G1" s="1325"/>
    </row>
    <row r="2" spans="1:8" ht="35.25" customHeight="1" x14ac:dyDescent="0.2">
      <c r="A2" s="1326"/>
      <c r="B2" s="1327"/>
      <c r="C2" s="1327"/>
      <c r="D2" s="1327"/>
      <c r="E2" s="1327"/>
      <c r="F2" s="1327"/>
      <c r="G2" s="1328"/>
    </row>
    <row r="3" spans="1:8" ht="6" customHeight="1" x14ac:dyDescent="0.2">
      <c r="A3" s="392"/>
      <c r="B3" s="392"/>
      <c r="C3" s="392"/>
      <c r="D3" s="392"/>
      <c r="E3" s="392"/>
      <c r="F3" s="392"/>
      <c r="G3" s="392"/>
    </row>
    <row r="4" spans="1:8" ht="14.25" customHeight="1" x14ac:dyDescent="0.2">
      <c r="A4" s="349"/>
      <c r="B4" s="349"/>
      <c r="C4" s="349"/>
      <c r="D4" s="349"/>
      <c r="E4" s="349"/>
      <c r="F4" s="349"/>
      <c r="G4" s="349"/>
      <c r="H4" s="347"/>
    </row>
    <row r="5" spans="1:8" ht="14.25" customHeight="1" x14ac:dyDescent="0.2">
      <c r="A5" s="349"/>
      <c r="B5" s="349"/>
      <c r="C5" s="349"/>
      <c r="D5" s="349"/>
      <c r="E5" s="349"/>
      <c r="F5" s="349"/>
      <c r="G5" s="349"/>
      <c r="H5" s="347"/>
    </row>
    <row r="6" spans="1:8" ht="14.25" customHeight="1" x14ac:dyDescent="0.25">
      <c r="A6" s="809"/>
      <c r="B6" s="351"/>
      <c r="C6" s="350"/>
      <c r="D6" s="350"/>
      <c r="E6" s="350"/>
      <c r="F6" s="350"/>
      <c r="G6" s="350"/>
      <c r="H6" s="347"/>
    </row>
    <row r="7" spans="1:8" ht="25.5" customHeight="1" x14ac:dyDescent="0.2">
      <c r="A7" s="1332"/>
      <c r="B7" s="1332"/>
      <c r="C7" s="1332"/>
      <c r="D7" s="1332"/>
      <c r="E7" s="1332"/>
      <c r="F7" s="1332"/>
      <c r="G7" s="1332"/>
      <c r="H7" s="347"/>
    </row>
    <row r="8" spans="1:8" ht="15" customHeight="1" x14ac:dyDescent="0.2">
      <c r="A8" s="1332"/>
      <c r="B8" s="1332"/>
      <c r="C8" s="1332"/>
      <c r="D8" s="1332"/>
      <c r="E8" s="1332"/>
      <c r="F8" s="1332"/>
      <c r="G8" s="1332"/>
      <c r="H8" s="347"/>
    </row>
    <row r="9" spans="1:8" ht="15" customHeight="1" x14ac:dyDescent="0.2">
      <c r="A9" s="1332"/>
      <c r="B9" s="1332"/>
      <c r="C9" s="1332"/>
      <c r="D9" s="1332"/>
      <c r="E9" s="1332"/>
      <c r="F9" s="1332"/>
      <c r="G9" s="1332"/>
      <c r="H9" s="347"/>
    </row>
    <row r="10" spans="1:8" ht="15" customHeight="1" x14ac:dyDescent="0.2">
      <c r="A10" s="1332"/>
      <c r="B10" s="1332"/>
      <c r="C10" s="1332"/>
      <c r="D10" s="1332"/>
      <c r="E10" s="1332"/>
      <c r="F10" s="1332"/>
      <c r="G10" s="1332"/>
      <c r="H10" s="347"/>
    </row>
    <row r="11" spans="1:8" ht="15" customHeight="1" x14ac:dyDescent="0.2">
      <c r="A11" s="1332"/>
      <c r="B11" s="1332"/>
      <c r="C11" s="1332"/>
      <c r="D11" s="1332"/>
      <c r="E11" s="1332"/>
      <c r="F11" s="1332"/>
      <c r="G11" s="1332"/>
      <c r="H11" s="347"/>
    </row>
    <row r="12" spans="1:8" ht="14.25" customHeight="1" x14ac:dyDescent="0.2">
      <c r="A12" s="813"/>
      <c r="B12" s="675"/>
      <c r="C12" s="1331"/>
      <c r="D12" s="1331"/>
      <c r="E12" s="1331"/>
      <c r="F12" s="1331"/>
      <c r="G12" s="1331"/>
      <c r="H12" s="347"/>
    </row>
    <row r="13" spans="1:8" ht="18" customHeight="1" x14ac:dyDescent="0.2">
      <c r="A13" s="1329"/>
      <c r="B13" s="1329"/>
      <c r="C13" s="1329"/>
      <c r="D13" s="1329"/>
      <c r="E13" s="1329"/>
      <c r="F13" s="1329"/>
      <c r="G13" s="1329"/>
      <c r="H13" s="347"/>
    </row>
    <row r="14" spans="1:8" ht="14.25" customHeight="1" x14ac:dyDescent="0.2">
      <c r="A14" s="812"/>
      <c r="B14" s="813"/>
      <c r="C14" s="813"/>
      <c r="D14" s="813"/>
      <c r="E14" s="813"/>
      <c r="F14" s="813"/>
      <c r="G14" s="813"/>
      <c r="H14" s="347"/>
    </row>
    <row r="15" spans="1:8" ht="30.75" customHeight="1" x14ac:dyDescent="0.2">
      <c r="A15" s="812"/>
      <c r="B15" s="1329"/>
      <c r="C15" s="1329"/>
      <c r="D15" s="1329"/>
      <c r="E15" s="1329"/>
      <c r="F15" s="1329"/>
      <c r="G15" s="1329"/>
      <c r="H15" s="347"/>
    </row>
    <row r="16" spans="1:8" ht="14.25" customHeight="1" x14ac:dyDescent="0.2">
      <c r="A16" s="812"/>
      <c r="B16" s="1330"/>
      <c r="C16" s="1330"/>
      <c r="D16" s="1330"/>
      <c r="E16" s="1330"/>
      <c r="F16" s="1330"/>
      <c r="G16" s="1330"/>
      <c r="H16" s="347"/>
    </row>
    <row r="17" spans="1:8" x14ac:dyDescent="0.2">
      <c r="A17" s="812"/>
      <c r="B17" s="1329"/>
      <c r="C17" s="1329"/>
      <c r="D17" s="1329"/>
      <c r="E17" s="1329"/>
      <c r="F17" s="1329"/>
      <c r="G17" s="1329"/>
      <c r="H17" s="347"/>
    </row>
    <row r="18" spans="1:8" ht="14.25" customHeight="1" x14ac:dyDescent="0.2">
      <c r="A18" s="812"/>
      <c r="B18" s="813"/>
      <c r="C18" s="813"/>
      <c r="D18" s="813"/>
      <c r="E18" s="813"/>
      <c r="F18" s="813"/>
      <c r="G18" s="813"/>
      <c r="H18" s="347"/>
    </row>
    <row r="19" spans="1:8" ht="58.5" customHeight="1" x14ac:dyDescent="0.2">
      <c r="A19" s="812"/>
      <c r="B19" s="1330"/>
      <c r="C19" s="1330"/>
      <c r="D19" s="1330"/>
      <c r="E19" s="1330"/>
      <c r="F19" s="1330"/>
      <c r="G19" s="1330"/>
      <c r="H19" s="347"/>
    </row>
    <row r="20" spans="1:8" ht="14.25" customHeight="1" x14ac:dyDescent="0.2">
      <c r="A20" s="812"/>
      <c r="B20" s="813"/>
      <c r="C20" s="813"/>
      <c r="D20" s="813"/>
      <c r="E20" s="813"/>
      <c r="F20" s="813"/>
      <c r="G20" s="813"/>
      <c r="H20" s="347"/>
    </row>
    <row r="21" spans="1:8" ht="106.5" customHeight="1" x14ac:dyDescent="0.2">
      <c r="A21" s="812"/>
      <c r="B21" s="1330"/>
      <c r="C21" s="1330"/>
      <c r="D21" s="1330"/>
      <c r="E21" s="1330"/>
      <c r="F21" s="1330"/>
      <c r="G21" s="1330"/>
      <c r="H21" s="347"/>
    </row>
    <row r="22" spans="1:8" s="252" customFormat="1" ht="14.25" customHeight="1" x14ac:dyDescent="0.2">
      <c r="A22" s="812"/>
      <c r="B22" s="1329"/>
      <c r="C22" s="1329"/>
      <c r="D22" s="1329"/>
      <c r="E22" s="1329"/>
      <c r="F22" s="1329"/>
      <c r="G22" s="1329"/>
      <c r="H22" s="347"/>
    </row>
    <row r="23" spans="1:8" ht="27.75" customHeight="1" x14ac:dyDescent="0.2">
      <c r="A23" s="812"/>
      <c r="B23" s="1329"/>
      <c r="C23" s="1329"/>
      <c r="D23" s="1329"/>
      <c r="E23" s="1329"/>
      <c r="F23" s="1329"/>
      <c r="G23" s="1329"/>
      <c r="H23" s="347"/>
    </row>
    <row r="24" spans="1:8" ht="14.25" customHeight="1" x14ac:dyDescent="0.2">
      <c r="A24" s="812"/>
      <c r="B24" s="812"/>
      <c r="C24" s="812"/>
      <c r="D24" s="812"/>
      <c r="E24" s="812"/>
      <c r="F24" s="812"/>
      <c r="G24" s="812"/>
      <c r="H24" s="347"/>
    </row>
    <row r="25" spans="1:8" ht="33" customHeight="1" x14ac:dyDescent="0.2">
      <c r="A25" s="812"/>
      <c r="B25" s="1330"/>
      <c r="C25" s="1330"/>
      <c r="D25" s="1330"/>
      <c r="E25" s="1330"/>
      <c r="F25" s="1330"/>
      <c r="G25" s="1330"/>
      <c r="H25" s="347"/>
    </row>
    <row r="26" spans="1:8" x14ac:dyDescent="0.2">
      <c r="A26" s="676"/>
      <c r="B26" s="676"/>
      <c r="C26" s="676"/>
      <c r="D26" s="676"/>
      <c r="E26" s="676"/>
      <c r="F26" s="676"/>
      <c r="G26" s="676"/>
      <c r="H26" s="348"/>
    </row>
    <row r="27" spans="1:8" x14ac:dyDescent="0.2">
      <c r="A27" s="676"/>
      <c r="B27" s="676"/>
      <c r="C27" s="676"/>
      <c r="D27" s="676"/>
      <c r="E27" s="676"/>
      <c r="F27" s="676"/>
      <c r="G27" s="676"/>
      <c r="H27" s="348"/>
    </row>
    <row r="28" spans="1:8" x14ac:dyDescent="0.2">
      <c r="A28" s="676"/>
      <c r="B28" s="676"/>
      <c r="C28" s="676"/>
      <c r="D28" s="676"/>
      <c r="E28" s="676"/>
      <c r="F28" s="676"/>
      <c r="G28" s="676"/>
      <c r="H28" s="348"/>
    </row>
    <row r="29" spans="1:8" x14ac:dyDescent="0.2">
      <c r="A29" s="676"/>
      <c r="B29" s="676"/>
      <c r="C29" s="676"/>
      <c r="D29" s="676"/>
      <c r="E29" s="676"/>
      <c r="F29" s="676"/>
      <c r="G29" s="676"/>
      <c r="H29" s="348"/>
    </row>
    <row r="39" spans="1:7" ht="14.25" customHeight="1" x14ac:dyDescent="0.2">
      <c r="A39" s="1323" t="str">
        <f>A1</f>
        <v>Vereinfachtes Verfahren der Aufforderung zum Abschluss einer Pflegesatzvereinbarung gemäß § 84, 85 SGB XI mit Orientierung auf das regional übliche Entgeltniveau (Stand 31.10.2024)</v>
      </c>
      <c r="B39" s="1324"/>
      <c r="C39" s="1324"/>
      <c r="D39" s="1324"/>
      <c r="E39" s="1324"/>
      <c r="F39" s="1324"/>
      <c r="G39" s="1325"/>
    </row>
    <row r="40" spans="1:7" ht="35.25" customHeight="1" x14ac:dyDescent="0.2">
      <c r="A40" s="1326"/>
      <c r="B40" s="1327"/>
      <c r="C40" s="1327"/>
      <c r="D40" s="1327"/>
      <c r="E40" s="1327"/>
      <c r="F40" s="1327"/>
      <c r="G40" s="1328"/>
    </row>
    <row r="41" spans="1:7" x14ac:dyDescent="0.2">
      <c r="A41" s="252"/>
      <c r="B41" s="252"/>
      <c r="C41" s="252"/>
      <c r="D41" s="252"/>
      <c r="E41" s="252"/>
      <c r="F41" s="252"/>
      <c r="G41" s="252"/>
    </row>
    <row r="42" spans="1:7" x14ac:dyDescent="0.2">
      <c r="A42" s="252"/>
      <c r="B42" s="252"/>
      <c r="C42" s="252"/>
      <c r="D42" s="252"/>
      <c r="E42" s="252"/>
      <c r="F42" s="252"/>
      <c r="G42" s="252"/>
    </row>
    <row r="43" spans="1:7" x14ac:dyDescent="0.2">
      <c r="A43" s="252"/>
      <c r="B43" s="252"/>
      <c r="C43" s="252"/>
      <c r="D43" s="252"/>
      <c r="E43" s="252"/>
      <c r="F43" s="252"/>
      <c r="G43" s="252"/>
    </row>
    <row r="44" spans="1:7" x14ac:dyDescent="0.2">
      <c r="A44" s="252"/>
      <c r="B44" s="252"/>
      <c r="C44" s="252"/>
      <c r="D44" s="252"/>
      <c r="E44" s="252"/>
      <c r="F44" s="252"/>
      <c r="G44" s="252"/>
    </row>
    <row r="90" spans="1:7" ht="14.25" customHeight="1" x14ac:dyDescent="0.2">
      <c r="A90" s="1323" t="str">
        <f>A39</f>
        <v>Vereinfachtes Verfahren der Aufforderung zum Abschluss einer Pflegesatzvereinbarung gemäß § 84, 85 SGB XI mit Orientierung auf das regional übliche Entgeltniveau (Stand 31.10.2024)</v>
      </c>
      <c r="B90" s="1324"/>
      <c r="C90" s="1324"/>
      <c r="D90" s="1324"/>
      <c r="E90" s="1324"/>
      <c r="F90" s="1324"/>
      <c r="G90" s="1325"/>
    </row>
    <row r="91" spans="1:7" ht="35.25" customHeight="1" x14ac:dyDescent="0.2">
      <c r="A91" s="1326"/>
      <c r="B91" s="1327"/>
      <c r="C91" s="1327"/>
      <c r="D91" s="1327"/>
      <c r="E91" s="1327"/>
      <c r="F91" s="1327"/>
      <c r="G91" s="1328"/>
    </row>
    <row r="141" spans="1:7" ht="14.25" customHeight="1" x14ac:dyDescent="0.2">
      <c r="A141" s="1323" t="str">
        <f>A90</f>
        <v>Vereinfachtes Verfahren der Aufforderung zum Abschluss einer Pflegesatzvereinbarung gemäß § 84, 85 SGB XI mit Orientierung auf das regional übliche Entgeltniveau (Stand 31.10.2024)</v>
      </c>
      <c r="B141" s="1324"/>
      <c r="C141" s="1324"/>
      <c r="D141" s="1324"/>
      <c r="E141" s="1324"/>
      <c r="F141" s="1324"/>
      <c r="G141" s="1325"/>
    </row>
    <row r="142" spans="1:7" ht="35.25" customHeight="1" x14ac:dyDescent="0.2">
      <c r="A142" s="1326"/>
      <c r="B142" s="1327"/>
      <c r="C142" s="1327"/>
      <c r="D142" s="1327"/>
      <c r="E142" s="1327"/>
      <c r="F142" s="1327"/>
      <c r="G142" s="1328"/>
    </row>
    <row r="192" spans="1:7" ht="14.25" customHeight="1" x14ac:dyDescent="0.2">
      <c r="A192" s="1323" t="str">
        <f>A141</f>
        <v>Vereinfachtes Verfahren der Aufforderung zum Abschluss einer Pflegesatzvereinbarung gemäß § 84, 85 SGB XI mit Orientierung auf das regional übliche Entgeltniveau (Stand 31.10.2024)</v>
      </c>
      <c r="B192" s="1324"/>
      <c r="C192" s="1324"/>
      <c r="D192" s="1324"/>
      <c r="E192" s="1324"/>
      <c r="F192" s="1324"/>
      <c r="G192" s="1325"/>
    </row>
    <row r="193" spans="1:7" ht="35.25" customHeight="1" x14ac:dyDescent="0.2">
      <c r="A193" s="1326"/>
      <c r="B193" s="1327"/>
      <c r="C193" s="1327"/>
      <c r="D193" s="1327"/>
      <c r="E193" s="1327"/>
      <c r="F193" s="1327"/>
      <c r="G193" s="1328"/>
    </row>
    <row r="243" spans="1:7" ht="14.25" customHeight="1" x14ac:dyDescent="0.2">
      <c r="A243" s="1323" t="str">
        <f>A192</f>
        <v>Vereinfachtes Verfahren der Aufforderung zum Abschluss einer Pflegesatzvereinbarung gemäß § 84, 85 SGB XI mit Orientierung auf das regional übliche Entgeltniveau (Stand 31.10.2024)</v>
      </c>
      <c r="B243" s="1324"/>
      <c r="C243" s="1324"/>
      <c r="D243" s="1324"/>
      <c r="E243" s="1324"/>
      <c r="F243" s="1324"/>
      <c r="G243" s="1325"/>
    </row>
    <row r="244" spans="1:7" ht="35.25" customHeight="1" x14ac:dyDescent="0.2">
      <c r="A244" s="1326"/>
      <c r="B244" s="1327"/>
      <c r="C244" s="1327"/>
      <c r="D244" s="1327"/>
      <c r="E244" s="1327"/>
      <c r="F244" s="1327"/>
      <c r="G244" s="1328"/>
    </row>
    <row r="294" spans="1:7" ht="14.25" customHeight="1" x14ac:dyDescent="0.2">
      <c r="A294" s="1323" t="str">
        <f>A243</f>
        <v>Vereinfachtes Verfahren der Aufforderung zum Abschluss einer Pflegesatzvereinbarung gemäß § 84, 85 SGB XI mit Orientierung auf das regional übliche Entgeltniveau (Stand 31.10.2024)</v>
      </c>
      <c r="B294" s="1324"/>
      <c r="C294" s="1324"/>
      <c r="D294" s="1324"/>
      <c r="E294" s="1324"/>
      <c r="F294" s="1324"/>
      <c r="G294" s="1325"/>
    </row>
    <row r="295" spans="1:7" ht="35.25" customHeight="1" x14ac:dyDescent="0.2">
      <c r="A295" s="1326"/>
      <c r="B295" s="1327"/>
      <c r="C295" s="1327"/>
      <c r="D295" s="1327"/>
      <c r="E295" s="1327"/>
      <c r="F295" s="1327"/>
      <c r="G295" s="1328"/>
    </row>
  </sheetData>
  <sheetProtection algorithmName="SHA-512" hashValue="l2xSjVw0WWdKkippM8TemR5fCBIZqUg94fabG0lGIJe/9Ztai1RN04l9fBLILOa+LE+y+PVNREOGsVwjNgtULQ==" saltValue="TjPvCWjy0iYGmCC4M9A0bg==" spinCount="100000" sheet="1" objects="1" scenarios="1"/>
  <customSheetViews>
    <customSheetView guid="{9119B1A0-FD79-4FE4-B78E-10E0AEB8080B}" scale="130" showGridLines="0">
      <selection sqref="A1:G2"/>
      <pageMargins left="0.70866141732283472" right="0.70866141732283472" top="0.78740157480314965" bottom="0.78740157480314965" header="0.31496062992125984" footer="0.31496062992125984"/>
      <pageSetup paperSize="9" orientation="portrait"/>
      <headerFooter>
        <oddFooter xml:space="preserve">&amp;L&amp;8Version: 14.06.2022&amp;C&amp;8Verhandlungsunterlagen SGB XI (vereinfacht B1)&amp;R&amp;8PSK-Beschluss Nr. x-2022 vom xx </oddFooter>
      </headerFooter>
    </customSheetView>
  </customSheetViews>
  <mergeCells count="18">
    <mergeCell ref="A13:G13"/>
    <mergeCell ref="B25:G25"/>
    <mergeCell ref="A1:G2"/>
    <mergeCell ref="B17:G17"/>
    <mergeCell ref="B16:G16"/>
    <mergeCell ref="B19:G19"/>
    <mergeCell ref="B21:G21"/>
    <mergeCell ref="B15:G15"/>
    <mergeCell ref="B22:G22"/>
    <mergeCell ref="B23:G23"/>
    <mergeCell ref="C12:G12"/>
    <mergeCell ref="A7:G11"/>
    <mergeCell ref="A294:G295"/>
    <mergeCell ref="A39:G40"/>
    <mergeCell ref="A90:G91"/>
    <mergeCell ref="A141:G142"/>
    <mergeCell ref="A192:G193"/>
    <mergeCell ref="A243:G244"/>
  </mergeCells>
  <pageMargins left="0.70866141732283472" right="0.70866141732283472" top="0.78740157480314965" bottom="0.78740157480314965" header="0.31496062992125984" footer="0.31496062992125984"/>
  <pageSetup paperSize="9" orientation="portrait"/>
  <headerFooter>
    <oddFooter>&amp;L&amp;8Version: 25.11.2024&amp;C&amp;8Verhandlungsunterlagen SGB XI (vereinfacht B1)&amp;R&amp;8PSK-Beschluss vom 07.11.2024</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tabColor rgb="FFFF0000"/>
    <pageSetUpPr fitToPage="1"/>
  </sheetPr>
  <dimension ref="A1:U78"/>
  <sheetViews>
    <sheetView showGridLines="0" zoomScaleNormal="100" workbookViewId="0">
      <selection activeCell="K29" sqref="K29"/>
    </sheetView>
  </sheetViews>
  <sheetFormatPr baseColWidth="10" defaultRowHeight="14.25" x14ac:dyDescent="0.2"/>
  <cols>
    <col min="1" max="1" width="4.625" style="3" customWidth="1"/>
    <col min="2" max="2" width="2.375" style="3" customWidth="1"/>
    <col min="3" max="3" width="14.25" style="3" customWidth="1"/>
    <col min="4" max="4" width="10.625" style="3" customWidth="1"/>
    <col min="5" max="7" width="3.125" style="3" customWidth="1"/>
    <col min="8" max="8" width="11" style="3"/>
    <col min="9" max="10" width="2.375" style="3" customWidth="1"/>
    <col min="11" max="11" width="12.625" style="3" customWidth="1"/>
    <col min="12" max="12" width="7.625" style="3" customWidth="1"/>
    <col min="13" max="13" width="10.75" style="3" customWidth="1"/>
    <col min="14" max="14" width="4.625" style="3" customWidth="1"/>
    <col min="15" max="15" width="46.25" customWidth="1"/>
    <col min="16" max="20" width="11" style="3" customWidth="1"/>
    <col min="21" max="27" width="11" customWidth="1"/>
  </cols>
  <sheetData>
    <row r="1" spans="1:20" ht="52.5" customHeight="1" x14ac:dyDescent="0.25">
      <c r="A1" s="1337" t="s">
        <v>928</v>
      </c>
      <c r="B1" s="1338"/>
      <c r="C1" s="1338"/>
      <c r="D1" s="1338"/>
      <c r="E1" s="1338"/>
      <c r="F1" s="1338"/>
      <c r="G1" s="1338"/>
      <c r="H1" s="1338"/>
      <c r="I1" s="1338"/>
      <c r="J1" s="1338"/>
      <c r="K1" s="1338"/>
      <c r="L1" s="1338"/>
      <c r="M1" s="1338"/>
      <c r="N1" s="1339"/>
      <c r="O1" s="448"/>
      <c r="P1"/>
      <c r="Q1" s="170"/>
      <c r="R1" s="449"/>
      <c r="S1" s="450"/>
      <c r="T1"/>
    </row>
    <row r="2" spans="1:20" ht="15" customHeight="1" x14ac:dyDescent="0.25">
      <c r="A2" s="1340" t="s">
        <v>0</v>
      </c>
      <c r="B2" s="1341"/>
      <c r="C2" s="1341"/>
      <c r="D2" s="1341"/>
      <c r="E2" s="1341"/>
      <c r="F2" s="1341"/>
      <c r="G2" s="1341"/>
      <c r="H2" s="1341"/>
      <c r="I2" s="1341"/>
      <c r="J2" s="1341"/>
      <c r="K2" s="1341"/>
      <c r="L2" s="1341"/>
      <c r="M2" s="1341"/>
      <c r="N2" s="1342"/>
      <c r="O2" s="451"/>
      <c r="P2"/>
      <c r="Q2"/>
      <c r="R2"/>
      <c r="S2"/>
      <c r="T2"/>
    </row>
    <row r="3" spans="1:20" ht="15" x14ac:dyDescent="0.25">
      <c r="A3" s="1340" t="str">
        <f>IF(D12&gt;0,CONCATENATE(D12,", ",D16),"")</f>
        <v/>
      </c>
      <c r="B3" s="1341"/>
      <c r="C3" s="1341"/>
      <c r="D3" s="1341"/>
      <c r="E3" s="1341"/>
      <c r="F3" s="1341"/>
      <c r="G3" s="1341"/>
      <c r="H3" s="1341"/>
      <c r="I3" s="1341"/>
      <c r="J3" s="1341"/>
      <c r="K3" s="1341"/>
      <c r="L3" s="1341"/>
      <c r="M3" s="1341"/>
      <c r="N3" s="1342"/>
      <c r="O3" s="37"/>
      <c r="P3"/>
      <c r="Q3"/>
      <c r="R3"/>
      <c r="S3"/>
      <c r="T3"/>
    </row>
    <row r="4" spans="1:20" x14ac:dyDescent="0.2">
      <c r="A4" s="173" t="str">
        <f>IF(L6&gt;0,CONCATENATE("IK"," ",L6),"")</f>
        <v/>
      </c>
      <c r="B4" s="165"/>
      <c r="C4" s="165"/>
      <c r="D4" s="165"/>
      <c r="E4" s="165"/>
      <c r="F4" s="165"/>
      <c r="G4" s="165"/>
      <c r="H4" s="165"/>
      <c r="I4" s="165"/>
      <c r="J4" s="165"/>
      <c r="K4" s="352" t="s">
        <v>330</v>
      </c>
      <c r="L4" s="1350"/>
      <c r="M4" s="1351"/>
      <c r="N4" s="166"/>
      <c r="O4" s="51"/>
      <c r="P4"/>
      <c r="Q4"/>
      <c r="R4"/>
      <c r="S4"/>
      <c r="T4"/>
    </row>
    <row r="5" spans="1:20" ht="12.75" customHeight="1" thickBot="1" x14ac:dyDescent="0.25">
      <c r="A5" s="1348">
        <v>45621</v>
      </c>
      <c r="B5" s="1349"/>
      <c r="C5" s="73"/>
      <c r="N5" s="4"/>
      <c r="P5"/>
      <c r="Q5"/>
      <c r="R5"/>
      <c r="S5"/>
      <c r="T5"/>
    </row>
    <row r="6" spans="1:20" ht="15" thickBot="1" x14ac:dyDescent="0.25">
      <c r="A6" s="2" t="s">
        <v>331</v>
      </c>
      <c r="B6" s="5" t="s">
        <v>1</v>
      </c>
      <c r="D6" s="1343"/>
      <c r="E6" s="1344"/>
      <c r="F6" s="1344"/>
      <c r="G6" s="1345"/>
      <c r="I6" s="5"/>
      <c r="J6" s="5"/>
      <c r="K6" s="6" t="s">
        <v>383</v>
      </c>
      <c r="L6" s="1346"/>
      <c r="M6" s="1347"/>
      <c r="N6" s="4"/>
      <c r="O6" s="162"/>
      <c r="P6"/>
      <c r="Q6"/>
      <c r="R6"/>
      <c r="S6"/>
      <c r="T6"/>
    </row>
    <row r="7" spans="1:20" ht="5.25" customHeight="1" x14ac:dyDescent="0.2">
      <c r="A7" s="2"/>
      <c r="B7" s="7"/>
      <c r="C7" s="8"/>
      <c r="D7" s="814" t="str">
        <f>IF(D6&gt;0,IF(D6="teilstationäre Pflege","tst",IF(D6="Kurzzeitpflege","kzp","vst")),"")</f>
        <v/>
      </c>
      <c r="E7" s="815" t="b">
        <f>IF(D6&gt;0,IF(D6="Wohnpflegeheim","WPH",""))</f>
        <v>0</v>
      </c>
      <c r="F7" s="816" t="str">
        <f>IF(D6="4. Generation","4.","")</f>
        <v/>
      </c>
      <c r="K7" s="6" t="s">
        <v>382</v>
      </c>
      <c r="L7" s="1335"/>
      <c r="M7" s="1336"/>
      <c r="N7" s="4"/>
      <c r="O7" s="452"/>
      <c r="P7"/>
      <c r="Q7"/>
      <c r="R7"/>
      <c r="S7"/>
      <c r="T7"/>
    </row>
    <row r="8" spans="1:20" ht="12.75" customHeight="1" x14ac:dyDescent="0.2">
      <c r="A8" s="2"/>
      <c r="B8" s="7"/>
      <c r="C8" s="8"/>
      <c r="D8" s="900" t="s">
        <v>718</v>
      </c>
      <c r="H8" s="1333"/>
      <c r="I8" s="1334"/>
      <c r="J8" s="1334"/>
      <c r="K8" s="1334"/>
      <c r="L8" s="905"/>
      <c r="M8" s="905"/>
      <c r="N8" s="4"/>
      <c r="O8" s="452"/>
      <c r="P8"/>
      <c r="Q8"/>
      <c r="R8"/>
      <c r="S8"/>
      <c r="T8"/>
    </row>
    <row r="9" spans="1:20" ht="12.75" customHeight="1" x14ac:dyDescent="0.2">
      <c r="A9" s="2"/>
      <c r="B9" s="7"/>
      <c r="C9" s="8"/>
      <c r="D9" s="10"/>
      <c r="J9" s="817" t="str">
        <f>IF(AND(D7="kzp",H8=""),"Bitte Form der Kurzzeitpflege angeben.","")</f>
        <v/>
      </c>
      <c r="N9" s="4"/>
      <c r="P9"/>
      <c r="Q9"/>
      <c r="R9"/>
      <c r="S9"/>
      <c r="T9"/>
    </row>
    <row r="10" spans="1:20" x14ac:dyDescent="0.2">
      <c r="A10" s="2"/>
      <c r="B10" s="40" t="s">
        <v>3</v>
      </c>
      <c r="C10" s="39"/>
      <c r="D10" s="39"/>
      <c r="E10" s="39"/>
      <c r="F10" s="39"/>
      <c r="G10" s="39"/>
      <c r="H10" s="39"/>
      <c r="I10" s="39"/>
      <c r="J10" s="39"/>
      <c r="K10" s="39"/>
      <c r="L10" s="39"/>
      <c r="M10" s="39"/>
      <c r="N10" s="4"/>
      <c r="O10" s="453"/>
      <c r="P10"/>
      <c r="Q10"/>
      <c r="R10"/>
      <c r="S10"/>
      <c r="T10"/>
    </row>
    <row r="11" spans="1:20" ht="12.75" customHeight="1" x14ac:dyDescent="0.2">
      <c r="A11" s="2"/>
      <c r="D11" s="817" t="str">
        <f>IF(AND(D6=0,D12&lt;&gt;0),"bitte wählen Sie noch die Art der Einrichtung aus","")</f>
        <v/>
      </c>
      <c r="N11" s="4"/>
      <c r="O11" s="454"/>
      <c r="P11"/>
      <c r="Q11"/>
      <c r="R11"/>
      <c r="S11"/>
      <c r="T11"/>
    </row>
    <row r="12" spans="1:20" x14ac:dyDescent="0.2">
      <c r="A12" s="2"/>
      <c r="B12" s="11" t="s">
        <v>135</v>
      </c>
      <c r="D12" s="1352"/>
      <c r="E12" s="1353"/>
      <c r="F12" s="1353"/>
      <c r="G12" s="1353"/>
      <c r="H12" s="1353"/>
      <c r="I12" s="1353"/>
      <c r="J12" s="1353"/>
      <c r="K12" s="1353"/>
      <c r="L12" s="1353"/>
      <c r="M12" s="1353"/>
      <c r="N12" s="12"/>
      <c r="O12" s="455"/>
      <c r="P12"/>
      <c r="Q12"/>
      <c r="R12"/>
      <c r="S12"/>
      <c r="T12"/>
    </row>
    <row r="13" spans="1:20" x14ac:dyDescent="0.2">
      <c r="A13" s="2"/>
      <c r="D13" s="13" t="s">
        <v>4</v>
      </c>
      <c r="E13" s="13"/>
      <c r="J13" s="13"/>
      <c r="K13" s="13"/>
      <c r="L13" s="13"/>
      <c r="M13" s="13"/>
      <c r="N13" s="14"/>
      <c r="P13"/>
      <c r="Q13"/>
      <c r="R13"/>
      <c r="S13"/>
      <c r="T13"/>
    </row>
    <row r="14" spans="1:20" x14ac:dyDescent="0.2">
      <c r="A14" s="2"/>
      <c r="D14" s="1352"/>
      <c r="E14" s="1353"/>
      <c r="F14" s="1353"/>
      <c r="G14" s="1353"/>
      <c r="H14" s="1353"/>
      <c r="I14" s="1353"/>
      <c r="J14" s="1353"/>
      <c r="K14" s="1353"/>
      <c r="L14" s="1353"/>
      <c r="M14" s="1353"/>
      <c r="N14" s="4"/>
      <c r="P14"/>
      <c r="Q14"/>
      <c r="R14"/>
      <c r="S14"/>
      <c r="T14"/>
    </row>
    <row r="15" spans="1:20" x14ac:dyDescent="0.2">
      <c r="A15" s="2"/>
      <c r="D15" s="13" t="s">
        <v>5</v>
      </c>
      <c r="E15" s="13"/>
      <c r="N15" s="4"/>
      <c r="O15" s="456"/>
      <c r="P15"/>
      <c r="Q15"/>
      <c r="R15"/>
      <c r="S15"/>
      <c r="T15"/>
    </row>
    <row r="16" spans="1:20" x14ac:dyDescent="0.2">
      <c r="A16" s="2"/>
      <c r="D16" s="1364"/>
      <c r="E16" s="1362"/>
      <c r="F16" s="1362"/>
      <c r="G16" s="1362"/>
      <c r="H16" s="1362"/>
      <c r="I16" s="1362"/>
      <c r="J16" s="1362"/>
      <c r="K16" s="1362"/>
      <c r="L16" s="1362"/>
      <c r="M16" s="1362"/>
      <c r="N16" s="4"/>
      <c r="O16" s="457"/>
      <c r="P16"/>
      <c r="Q16"/>
      <c r="R16"/>
      <c r="S16"/>
      <c r="T16"/>
    </row>
    <row r="17" spans="1:20" x14ac:dyDescent="0.2">
      <c r="A17" s="2"/>
      <c r="D17" s="13" t="s">
        <v>6</v>
      </c>
      <c r="E17" s="13"/>
      <c r="N17" s="4"/>
      <c r="P17"/>
      <c r="Q17"/>
      <c r="R17"/>
      <c r="S17"/>
      <c r="T17"/>
    </row>
    <row r="18" spans="1:20" x14ac:dyDescent="0.2">
      <c r="A18" s="2"/>
      <c r="D18" s="1363"/>
      <c r="E18" s="1360"/>
      <c r="F18" s="1360"/>
      <c r="G18" s="1360"/>
      <c r="H18" s="1353"/>
      <c r="J18" s="1364"/>
      <c r="K18" s="1362"/>
      <c r="L18" s="1362"/>
      <c r="M18" s="1362"/>
      <c r="N18" s="4"/>
      <c r="O18" s="458"/>
      <c r="P18"/>
      <c r="Q18"/>
      <c r="R18"/>
      <c r="S18"/>
      <c r="T18"/>
    </row>
    <row r="19" spans="1:20" x14ac:dyDescent="0.2">
      <c r="A19" s="2"/>
      <c r="D19" s="13" t="s">
        <v>7</v>
      </c>
      <c r="E19" s="13"/>
      <c r="J19" s="13" t="s">
        <v>8</v>
      </c>
      <c r="K19" s="13"/>
      <c r="L19" s="13"/>
      <c r="N19" s="4"/>
      <c r="P19"/>
      <c r="Q19"/>
      <c r="R19"/>
      <c r="S19"/>
      <c r="T19"/>
    </row>
    <row r="20" spans="1:20" x14ac:dyDescent="0.2">
      <c r="A20" s="2"/>
      <c r="D20" s="1359"/>
      <c r="E20" s="1360"/>
      <c r="F20" s="1360"/>
      <c r="G20" s="1360"/>
      <c r="H20" s="1353"/>
      <c r="J20" s="1361"/>
      <c r="K20" s="1362"/>
      <c r="L20" s="1362"/>
      <c r="M20" s="1362"/>
      <c r="N20" s="4"/>
      <c r="P20"/>
      <c r="Q20"/>
      <c r="R20" s="124"/>
      <c r="S20"/>
      <c r="T20"/>
    </row>
    <row r="21" spans="1:20" x14ac:dyDescent="0.2">
      <c r="A21" s="2"/>
      <c r="D21" s="13" t="s">
        <v>9</v>
      </c>
      <c r="E21" s="13"/>
      <c r="J21" s="15" t="s">
        <v>137</v>
      </c>
      <c r="N21" s="4"/>
      <c r="P21"/>
      <c r="Q21"/>
      <c r="R21"/>
      <c r="S21"/>
      <c r="T21"/>
    </row>
    <row r="22" spans="1:20" ht="14.25" customHeight="1" x14ac:dyDescent="0.2">
      <c r="A22" s="2"/>
      <c r="D22" s="1363"/>
      <c r="E22" s="1360"/>
      <c r="F22" s="1360"/>
      <c r="G22" s="1360"/>
      <c r="H22" s="1353"/>
      <c r="J22" s="1364"/>
      <c r="K22" s="1362"/>
      <c r="L22" s="1362"/>
      <c r="M22" s="1362"/>
      <c r="N22" s="4"/>
      <c r="P22"/>
      <c r="Q22"/>
      <c r="R22"/>
      <c r="S22"/>
      <c r="T22"/>
    </row>
    <row r="23" spans="1:20" x14ac:dyDescent="0.2">
      <c r="A23" s="2"/>
      <c r="D23" s="13" t="s">
        <v>136</v>
      </c>
      <c r="E23" s="13"/>
      <c r="J23" s="13" t="s">
        <v>10</v>
      </c>
      <c r="K23" s="13"/>
      <c r="L23" s="13"/>
      <c r="N23" s="4"/>
      <c r="P23"/>
      <c r="Q23"/>
      <c r="R23"/>
      <c r="S23"/>
      <c r="T23"/>
    </row>
    <row r="24" spans="1:20" ht="12.75" customHeight="1" x14ac:dyDescent="0.2">
      <c r="A24" s="2"/>
      <c r="D24" s="13"/>
      <c r="E24" s="13"/>
      <c r="J24" s="15"/>
      <c r="N24" s="4"/>
      <c r="P24"/>
      <c r="Q24"/>
      <c r="R24"/>
      <c r="S24"/>
      <c r="T24"/>
    </row>
    <row r="25" spans="1:20" ht="12.75" customHeight="1" x14ac:dyDescent="0.2">
      <c r="A25" s="2"/>
      <c r="D25" s="13"/>
      <c r="E25" s="13"/>
      <c r="N25" s="4"/>
      <c r="P25"/>
      <c r="Q25"/>
      <c r="R25"/>
      <c r="S25"/>
      <c r="T25"/>
    </row>
    <row r="26" spans="1:20" x14ac:dyDescent="0.2">
      <c r="A26" s="2"/>
      <c r="B26" s="11" t="s">
        <v>11</v>
      </c>
      <c r="D26" s="1352"/>
      <c r="E26" s="1352"/>
      <c r="F26" s="1352"/>
      <c r="G26" s="1352"/>
      <c r="H26" s="1352"/>
      <c r="I26" s="1352"/>
      <c r="J26" s="1352"/>
      <c r="K26" s="1352"/>
      <c r="L26" s="1352"/>
      <c r="M26" s="1352"/>
      <c r="N26" s="4"/>
      <c r="P26"/>
      <c r="Q26"/>
      <c r="R26"/>
      <c r="S26"/>
      <c r="T26"/>
    </row>
    <row r="27" spans="1:20" x14ac:dyDescent="0.2">
      <c r="A27" s="2"/>
      <c r="D27" s="13" t="s">
        <v>12</v>
      </c>
      <c r="E27" s="13"/>
      <c r="N27" s="4"/>
      <c r="P27"/>
      <c r="Q27"/>
      <c r="R27"/>
      <c r="S27"/>
      <c r="T27"/>
    </row>
    <row r="28" spans="1:20" x14ac:dyDescent="0.2">
      <c r="A28" s="2"/>
      <c r="D28" s="1352"/>
      <c r="E28" s="1353"/>
      <c r="F28" s="1353"/>
      <c r="G28" s="1353"/>
      <c r="H28" s="1353"/>
      <c r="I28" s="1353"/>
      <c r="J28" s="1353"/>
      <c r="K28" s="1353"/>
      <c r="L28" s="1353"/>
      <c r="M28" s="1353"/>
      <c r="N28" s="4"/>
      <c r="P28"/>
      <c r="Q28"/>
      <c r="R28"/>
      <c r="S28"/>
      <c r="T28"/>
    </row>
    <row r="29" spans="1:20" ht="14.25" customHeight="1" x14ac:dyDescent="0.2">
      <c r="A29" s="2"/>
      <c r="D29" s="13" t="s">
        <v>5</v>
      </c>
      <c r="E29" s="13"/>
      <c r="N29" s="4"/>
      <c r="P29"/>
      <c r="Q29"/>
      <c r="R29"/>
      <c r="S29"/>
      <c r="T29"/>
    </row>
    <row r="30" spans="1:20" x14ac:dyDescent="0.2">
      <c r="A30" s="2"/>
      <c r="D30" s="1364"/>
      <c r="E30" s="1362"/>
      <c r="F30" s="1362"/>
      <c r="G30" s="1362"/>
      <c r="H30" s="1362"/>
      <c r="I30" s="1362"/>
      <c r="J30" s="1362"/>
      <c r="K30" s="1362"/>
      <c r="L30" s="1362"/>
      <c r="M30" s="1362"/>
      <c r="N30" s="4"/>
      <c r="P30"/>
      <c r="Q30"/>
      <c r="R30"/>
      <c r="S30"/>
      <c r="T30"/>
    </row>
    <row r="31" spans="1:20" x14ac:dyDescent="0.2">
      <c r="A31" s="2"/>
      <c r="D31" s="13" t="s">
        <v>6</v>
      </c>
      <c r="E31" s="13"/>
      <c r="N31" s="4"/>
      <c r="P31"/>
      <c r="Q31"/>
      <c r="R31"/>
      <c r="S31"/>
      <c r="T31"/>
    </row>
    <row r="32" spans="1:20" x14ac:dyDescent="0.2">
      <c r="A32" s="2"/>
      <c r="D32" s="1363"/>
      <c r="E32" s="1360"/>
      <c r="F32" s="1360"/>
      <c r="G32" s="1360"/>
      <c r="H32" s="1353"/>
      <c r="J32" s="1364"/>
      <c r="K32" s="1362"/>
      <c r="L32" s="1362"/>
      <c r="M32" s="1362"/>
      <c r="N32" s="4"/>
      <c r="P32"/>
      <c r="Q32"/>
      <c r="R32"/>
      <c r="S32"/>
      <c r="T32"/>
    </row>
    <row r="33" spans="1:20" x14ac:dyDescent="0.2">
      <c r="A33" s="2"/>
      <c r="D33" s="13" t="s">
        <v>7</v>
      </c>
      <c r="E33" s="13"/>
      <c r="J33" s="13" t="s">
        <v>8</v>
      </c>
      <c r="K33" s="13"/>
      <c r="L33" s="13"/>
      <c r="M33" s="13"/>
      <c r="N33" s="14"/>
      <c r="P33"/>
      <c r="Q33"/>
      <c r="R33"/>
      <c r="S33"/>
      <c r="T33"/>
    </row>
    <row r="34" spans="1:20" x14ac:dyDescent="0.2">
      <c r="A34" s="2"/>
      <c r="D34" s="1359"/>
      <c r="E34" s="1360"/>
      <c r="F34" s="1360"/>
      <c r="G34" s="1360"/>
      <c r="H34" s="1353"/>
      <c r="J34" s="1361"/>
      <c r="K34" s="1362"/>
      <c r="L34" s="1362"/>
      <c r="M34" s="1362"/>
      <c r="N34" s="4"/>
    </row>
    <row r="35" spans="1:20" x14ac:dyDescent="0.2">
      <c r="A35" s="2"/>
      <c r="D35" s="13" t="s">
        <v>9</v>
      </c>
      <c r="E35" s="13"/>
      <c r="J35" s="15" t="s">
        <v>137</v>
      </c>
      <c r="N35" s="4"/>
    </row>
    <row r="36" spans="1:20" x14ac:dyDescent="0.2">
      <c r="A36" s="2"/>
      <c r="D36" s="1352"/>
      <c r="E36" s="1353"/>
      <c r="F36" s="1353"/>
      <c r="G36" s="1353"/>
      <c r="H36" s="1353"/>
      <c r="I36" s="1353"/>
      <c r="J36" s="1353"/>
      <c r="K36" s="1353"/>
      <c r="L36" s="1353"/>
      <c r="M36" s="1353"/>
      <c r="N36" s="4"/>
      <c r="O36" s="456"/>
    </row>
    <row r="37" spans="1:20" x14ac:dyDescent="0.2">
      <c r="A37" s="2"/>
      <c r="D37" s="13" t="s">
        <v>242</v>
      </c>
      <c r="E37" s="13"/>
      <c r="J37" s="15"/>
      <c r="N37" s="4"/>
    </row>
    <row r="38" spans="1:20" ht="5.25" customHeight="1" x14ac:dyDescent="0.2">
      <c r="A38" s="2"/>
      <c r="D38" s="13"/>
      <c r="E38" s="13"/>
      <c r="N38" s="4"/>
    </row>
    <row r="39" spans="1:20" x14ac:dyDescent="0.2">
      <c r="A39" s="2"/>
      <c r="B39" s="40" t="s">
        <v>13</v>
      </c>
      <c r="C39" s="39"/>
      <c r="D39" s="68"/>
      <c r="E39" s="68"/>
      <c r="F39" s="39"/>
      <c r="G39" s="39"/>
      <c r="H39" s="39"/>
      <c r="I39" s="39"/>
      <c r="J39" s="39"/>
      <c r="K39" s="39"/>
      <c r="L39" s="39"/>
      <c r="M39" s="39"/>
      <c r="N39" s="4"/>
    </row>
    <row r="40" spans="1:20" ht="6" customHeight="1" x14ac:dyDescent="0.2">
      <c r="A40" s="2"/>
      <c r="D40" s="13"/>
      <c r="E40" s="13"/>
      <c r="N40" s="4"/>
    </row>
    <row r="41" spans="1:20" x14ac:dyDescent="0.2">
      <c r="A41" s="2"/>
      <c r="C41" s="374"/>
      <c r="E41" s="11"/>
      <c r="G41" s="17" t="s">
        <v>14</v>
      </c>
      <c r="H41" s="1354"/>
      <c r="I41" s="1353"/>
      <c r="J41" s="1353"/>
      <c r="K41" s="1353"/>
      <c r="L41" s="1353"/>
      <c r="M41" s="1353"/>
      <c r="N41" s="4"/>
    </row>
    <row r="42" spans="1:20" ht="6" customHeight="1" x14ac:dyDescent="0.2">
      <c r="A42" s="2"/>
      <c r="D42" s="13"/>
      <c r="E42" s="13"/>
      <c r="N42" s="4"/>
    </row>
    <row r="43" spans="1:20" s="3" customFormat="1" ht="12.75" customHeight="1" x14ac:dyDescent="0.2">
      <c r="A43" s="2"/>
      <c r="B43" s="11" t="s">
        <v>15</v>
      </c>
      <c r="D43" s="13"/>
      <c r="E43" s="13"/>
      <c r="I43" s="284"/>
      <c r="N43" s="4"/>
      <c r="O43" s="459"/>
    </row>
    <row r="44" spans="1:20" s="3" customFormat="1" ht="5.25" customHeight="1" x14ac:dyDescent="0.2">
      <c r="A44" s="2"/>
      <c r="B44" s="11"/>
      <c r="D44" s="13"/>
      <c r="E44" s="13"/>
      <c r="I44" s="252"/>
      <c r="N44" s="4"/>
      <c r="O44" s="459"/>
    </row>
    <row r="45" spans="1:20" s="3" customFormat="1" ht="12.75" customHeight="1" x14ac:dyDescent="0.2">
      <c r="A45" s="2"/>
      <c r="B45" s="5" t="s">
        <v>644</v>
      </c>
      <c r="D45" s="13"/>
      <c r="E45" s="13"/>
      <c r="H45" s="847"/>
      <c r="I45" s="252"/>
      <c r="K45" s="856">
        <f>DATEDIF(H45,H52,"m")</f>
        <v>0</v>
      </c>
      <c r="N45" s="4"/>
      <c r="O45" s="459"/>
    </row>
    <row r="46" spans="1:20" ht="12.75" customHeight="1" thickBot="1" x14ac:dyDescent="0.25">
      <c r="A46" s="2"/>
      <c r="D46" s="13"/>
      <c r="E46" s="13"/>
      <c r="K46" s="817" t="str">
        <f>IF(AND(H45="",H52&lt;&gt;""),"Bitte Erfassung des Zulassungsdatums!","")</f>
        <v/>
      </c>
      <c r="N46" s="4"/>
      <c r="O46" s="459"/>
    </row>
    <row r="47" spans="1:20" ht="15" thickBot="1" x14ac:dyDescent="0.25">
      <c r="A47" s="2"/>
      <c r="B47" s="16" t="s">
        <v>16</v>
      </c>
      <c r="L47" s="375"/>
      <c r="N47" s="4"/>
    </row>
    <row r="48" spans="1:20" ht="5.25" customHeight="1" x14ac:dyDescent="0.2">
      <c r="A48" s="2"/>
      <c r="B48" s="16"/>
      <c r="N48" s="4"/>
      <c r="O48" s="162"/>
      <c r="P48" s="453"/>
      <c r="Q48" s="460"/>
    </row>
    <row r="49" spans="1:21" ht="12.75" customHeight="1" x14ac:dyDescent="0.2">
      <c r="A49" s="2"/>
      <c r="B49" s="16"/>
      <c r="H49" s="818" t="str">
        <f>IF(AND(M48&gt;0,D7&lt;&gt;"vst"),"Erfassung nur bei vst. Einrichtungen möglich.","")</f>
        <v/>
      </c>
      <c r="L49" s="220"/>
      <c r="N49" s="4"/>
      <c r="O49" s="162"/>
      <c r="P49" s="453"/>
      <c r="Q49" s="460"/>
    </row>
    <row r="50" spans="1:21" ht="12.75" customHeight="1" x14ac:dyDescent="0.2">
      <c r="A50" s="285"/>
      <c r="B50" s="286" t="s">
        <v>17</v>
      </c>
      <c r="C50" s="18"/>
      <c r="D50" s="18"/>
      <c r="E50" s="287"/>
      <c r="F50" s="288"/>
      <c r="G50" s="288"/>
      <c r="H50" s="377"/>
      <c r="L50" s="17" t="s">
        <v>18</v>
      </c>
      <c r="M50" s="378"/>
      <c r="N50" s="19"/>
      <c r="O50" s="162"/>
      <c r="P50" s="453"/>
      <c r="Q50" s="461"/>
      <c r="R50" s="462"/>
    </row>
    <row r="51" spans="1:21" ht="5.25" customHeight="1" thickBot="1" x14ac:dyDescent="0.25">
      <c r="A51" s="2"/>
      <c r="B51" s="16"/>
      <c r="N51" s="4"/>
      <c r="O51" s="162" t="s">
        <v>980</v>
      </c>
    </row>
    <row r="52" spans="1:21" s="290" customFormat="1" ht="13.5" thickBot="1" x14ac:dyDescent="0.25">
      <c r="A52" s="289"/>
      <c r="B52" s="286" t="s">
        <v>502</v>
      </c>
      <c r="E52" s="291"/>
      <c r="F52" s="1355" t="s">
        <v>19</v>
      </c>
      <c r="G52" s="1355"/>
      <c r="H52" s="680"/>
      <c r="I52" s="292"/>
      <c r="J52" s="293" t="s">
        <v>20</v>
      </c>
      <c r="K52" s="680"/>
      <c r="M52" s="928">
        <f>IFERROR(DATEDIF(H52,K52,"m")+1,0)</f>
        <v>1</v>
      </c>
      <c r="N52" s="294"/>
      <c r="P52" s="11"/>
      <c r="Q52" s="11"/>
      <c r="R52" s="11"/>
      <c r="S52" s="11"/>
      <c r="T52" s="11"/>
      <c r="U52" s="343"/>
    </row>
    <row r="53" spans="1:21" s="290" customFormat="1" ht="5.25" customHeight="1" x14ac:dyDescent="0.2">
      <c r="A53" s="289"/>
      <c r="B53" s="286"/>
      <c r="E53" s="291"/>
      <c r="F53" s="344"/>
      <c r="G53" s="344"/>
      <c r="H53" s="379"/>
      <c r="I53" s="345"/>
      <c r="J53" s="346"/>
      <c r="K53" s="380"/>
      <c r="M53" s="928">
        <f>IF(H52&lt;DATEVALUE("01.01.2025"),1,2)</f>
        <v>1</v>
      </c>
      <c r="N53" s="294"/>
      <c r="P53" s="11"/>
      <c r="Q53" s="11"/>
      <c r="R53" s="11"/>
      <c r="S53" s="11"/>
      <c r="T53" s="11"/>
      <c r="U53" s="343"/>
    </row>
    <row r="54" spans="1:21" s="290" customFormat="1" ht="12.75" x14ac:dyDescent="0.2">
      <c r="A54" s="289"/>
      <c r="B54" s="286" t="s">
        <v>429</v>
      </c>
      <c r="E54" s="291"/>
      <c r="F54" s="1355" t="s">
        <v>19</v>
      </c>
      <c r="G54" s="1355"/>
      <c r="H54" s="377"/>
      <c r="I54" s="292"/>
      <c r="J54" s="293" t="s">
        <v>20</v>
      </c>
      <c r="K54" s="377"/>
      <c r="N54" s="294"/>
      <c r="P54" s="11"/>
      <c r="Q54" s="11"/>
      <c r="R54" s="11"/>
      <c r="S54" s="11"/>
      <c r="T54" s="11"/>
      <c r="U54" s="343"/>
    </row>
    <row r="55" spans="1:21" ht="12.75" customHeight="1" x14ac:dyDescent="0.2">
      <c r="A55" s="2"/>
      <c r="B55" s="16"/>
      <c r="N55" s="4"/>
    </row>
    <row r="56" spans="1:21" ht="12.75" customHeight="1" x14ac:dyDescent="0.2">
      <c r="A56" s="20"/>
      <c r="B56" s="295" t="s">
        <v>162</v>
      </c>
      <c r="C56" s="296"/>
      <c r="D56" s="296"/>
      <c r="E56" s="296"/>
      <c r="F56" s="296"/>
      <c r="G56" s="296"/>
      <c r="H56" s="296"/>
      <c r="I56" s="296"/>
      <c r="J56" s="296"/>
      <c r="K56" s="296"/>
      <c r="L56" s="296"/>
      <c r="M56" s="296"/>
      <c r="N56" s="19"/>
    </row>
    <row r="57" spans="1:21" ht="6.75" customHeight="1" x14ac:dyDescent="0.2">
      <c r="A57" s="20"/>
      <c r="B57" s="286"/>
      <c r="C57"/>
      <c r="D57"/>
      <c r="E57"/>
      <c r="F57"/>
      <c r="G57"/>
      <c r="H57"/>
      <c r="I57"/>
      <c r="J57"/>
      <c r="K57"/>
      <c r="L57"/>
      <c r="M57"/>
      <c r="N57" s="19"/>
    </row>
    <row r="58" spans="1:21" ht="15" customHeight="1" x14ac:dyDescent="0.2">
      <c r="A58" s="20"/>
      <c r="B58"/>
      <c r="C58" s="175" t="s">
        <v>160</v>
      </c>
      <c r="D58" s="21"/>
      <c r="E58" s="297"/>
      <c r="F58" s="297"/>
      <c r="G58" s="74"/>
      <c r="H58" s="22"/>
      <c r="I58" s="298"/>
      <c r="J58" s="299"/>
      <c r="K58" s="167"/>
      <c r="L58" s="21"/>
      <c r="M58" s="167"/>
      <c r="N58" s="4"/>
      <c r="O58" s="463"/>
    </row>
    <row r="59" spans="1:21" s="290" customFormat="1" ht="14.25" customHeight="1" x14ac:dyDescent="0.2">
      <c r="A59" s="289"/>
      <c r="C59" s="300" t="s">
        <v>21</v>
      </c>
      <c r="D59" s="301"/>
      <c r="E59" s="301"/>
      <c r="F59" s="301"/>
      <c r="G59" s="301"/>
      <c r="H59" s="72" t="s">
        <v>163</v>
      </c>
      <c r="I59" s="301"/>
      <c r="J59" s="301"/>
      <c r="K59" s="677"/>
      <c r="M59" s="294"/>
      <c r="N59" s="294"/>
      <c r="P59" s="11"/>
      <c r="Q59" s="11"/>
      <c r="R59" s="11"/>
      <c r="S59" s="11"/>
      <c r="T59" s="11"/>
    </row>
    <row r="60" spans="1:21" s="290" customFormat="1" ht="14.25" customHeight="1" x14ac:dyDescent="0.2">
      <c r="A60" s="289"/>
      <c r="C60" s="300" t="s">
        <v>22</v>
      </c>
      <c r="D60" s="301"/>
      <c r="E60" s="301"/>
      <c r="F60" s="301"/>
      <c r="G60" s="301"/>
      <c r="H60" s="72" t="s">
        <v>163</v>
      </c>
      <c r="I60" s="301"/>
      <c r="J60" s="301"/>
      <c r="K60" s="678"/>
      <c r="L60" s="302"/>
      <c r="M60" s="303"/>
      <c r="N60" s="294"/>
      <c r="P60" s="11"/>
      <c r="Q60" s="11"/>
      <c r="R60" s="11"/>
      <c r="S60" s="11"/>
      <c r="T60" s="11"/>
    </row>
    <row r="61" spans="1:21" s="290" customFormat="1" ht="14.25" customHeight="1" x14ac:dyDescent="0.2">
      <c r="A61" s="289"/>
      <c r="C61" s="300" t="s">
        <v>23</v>
      </c>
      <c r="D61" s="301"/>
      <c r="E61" s="301"/>
      <c r="F61" s="301"/>
      <c r="G61" s="301"/>
      <c r="H61" s="72" t="s">
        <v>163</v>
      </c>
      <c r="I61" s="301"/>
      <c r="J61" s="301"/>
      <c r="K61" s="678"/>
      <c r="L61" s="302"/>
      <c r="M61" s="303"/>
      <c r="N61" s="294"/>
      <c r="P61" s="11"/>
      <c r="Q61" s="11"/>
      <c r="R61" s="11"/>
      <c r="S61" s="11"/>
      <c r="T61" s="11"/>
    </row>
    <row r="62" spans="1:21" s="290" customFormat="1" ht="14.25" customHeight="1" x14ac:dyDescent="0.2">
      <c r="A62" s="289"/>
      <c r="C62" s="300" t="s">
        <v>24</v>
      </c>
      <c r="D62" s="301"/>
      <c r="E62" s="301"/>
      <c r="F62" s="301"/>
      <c r="G62" s="301"/>
      <c r="H62" s="72" t="s">
        <v>163</v>
      </c>
      <c r="I62" s="301"/>
      <c r="J62" s="301"/>
      <c r="K62" s="677"/>
      <c r="L62" s="302"/>
      <c r="M62" s="303"/>
      <c r="N62" s="294"/>
      <c r="P62" s="11"/>
      <c r="Q62" s="11"/>
      <c r="R62" s="11"/>
      <c r="S62" s="11"/>
      <c r="T62" s="11"/>
    </row>
    <row r="63" spans="1:21" s="290" customFormat="1" ht="14.25" customHeight="1" x14ac:dyDescent="0.2">
      <c r="A63" s="289"/>
      <c r="C63" s="300" t="s">
        <v>25</v>
      </c>
      <c r="D63" s="301"/>
      <c r="E63" s="301"/>
      <c r="F63" s="301"/>
      <c r="G63" s="301"/>
      <c r="H63" s="72" t="s">
        <v>163</v>
      </c>
      <c r="I63" s="301"/>
      <c r="J63" s="301"/>
      <c r="K63" s="677"/>
      <c r="L63" s="302"/>
      <c r="M63" s="303"/>
      <c r="N63" s="294"/>
      <c r="P63" s="11"/>
      <c r="Q63" s="11"/>
      <c r="R63" s="11"/>
      <c r="S63" s="11"/>
      <c r="T63" s="11"/>
    </row>
    <row r="64" spans="1:21" s="290" customFormat="1" ht="14.25" customHeight="1" x14ac:dyDescent="0.2">
      <c r="A64" s="289"/>
      <c r="C64" s="300" t="s">
        <v>26</v>
      </c>
      <c r="D64" s="301"/>
      <c r="E64" s="301"/>
      <c r="F64" s="301"/>
      <c r="G64" s="301"/>
      <c r="H64" s="72" t="s">
        <v>163</v>
      </c>
      <c r="I64" s="301"/>
      <c r="J64" s="301"/>
      <c r="K64" s="677"/>
      <c r="L64" s="302"/>
      <c r="M64" s="303"/>
      <c r="N64" s="294"/>
      <c r="P64" s="11"/>
      <c r="Q64" s="11"/>
      <c r="R64" s="11"/>
      <c r="S64" s="11"/>
      <c r="T64" s="11"/>
    </row>
    <row r="65" spans="1:20" s="290" customFormat="1" ht="14.25" customHeight="1" x14ac:dyDescent="0.2">
      <c r="A65" s="289"/>
      <c r="C65" s="23" t="s">
        <v>27</v>
      </c>
      <c r="D65" s="24"/>
      <c r="E65" s="24"/>
      <c r="F65" s="24"/>
      <c r="G65" s="304"/>
      <c r="H65" s="28" t="s">
        <v>163</v>
      </c>
      <c r="I65" s="305"/>
      <c r="J65" s="305"/>
      <c r="K65" s="677"/>
      <c r="L65" s="302"/>
      <c r="M65" s="303"/>
      <c r="N65" s="294"/>
      <c r="P65" s="11"/>
      <c r="Q65" s="11"/>
      <c r="R65" s="11"/>
      <c r="S65" s="11"/>
      <c r="T65" s="11"/>
    </row>
    <row r="66" spans="1:20" s="290" customFormat="1" ht="7.5" customHeight="1" x14ac:dyDescent="0.2">
      <c r="A66" s="289"/>
      <c r="C66" s="25"/>
      <c r="D66" s="11"/>
      <c r="E66" s="11"/>
      <c r="F66" s="11"/>
      <c r="H66" s="11"/>
      <c r="I66" s="11"/>
      <c r="J66" s="11"/>
      <c r="K66" s="75"/>
      <c r="M66" s="294"/>
      <c r="N66" s="294"/>
      <c r="P66" s="11"/>
      <c r="Q66" s="11"/>
      <c r="R66" s="11"/>
      <c r="S66" s="11"/>
      <c r="T66" s="11"/>
    </row>
    <row r="67" spans="1:20" s="290" customFormat="1" ht="12.75" customHeight="1" x14ac:dyDescent="0.2">
      <c r="A67" s="289"/>
      <c r="C67" s="23"/>
      <c r="D67" s="24"/>
      <c r="E67" s="26"/>
      <c r="F67" s="26"/>
      <c r="G67" s="304"/>
      <c r="H67" s="27" t="s">
        <v>161</v>
      </c>
      <c r="I67" s="304"/>
      <c r="J67" s="28"/>
      <c r="K67" s="679"/>
      <c r="L67" s="306"/>
      <c r="M67" s="307"/>
      <c r="N67" s="294"/>
      <c r="O67" s="457"/>
      <c r="P67" s="11"/>
      <c r="Q67" s="11"/>
      <c r="R67" s="11"/>
      <c r="S67" s="11"/>
      <c r="T67" s="11"/>
    </row>
    <row r="68" spans="1:20" s="34" customFormat="1" ht="14.25" customHeight="1" x14ac:dyDescent="0.2">
      <c r="A68" s="31"/>
      <c r="B68" s="32"/>
      <c r="E68" s="32"/>
      <c r="F68" s="32"/>
      <c r="G68" s="32"/>
      <c r="H68" s="32"/>
      <c r="I68" s="32"/>
      <c r="J68" s="32"/>
      <c r="K68" s="819" t="str">
        <f>IF(AND(H52&gt;0,K67&lt;=5),"Mappe 'B1_Allgemeine Angaben' und Mappe 'B1_Kalkulation' an den KSV senden!","")</f>
        <v/>
      </c>
      <c r="L68" s="32"/>
      <c r="M68" s="66"/>
      <c r="N68" s="33"/>
      <c r="O68" s="464"/>
    </row>
    <row r="69" spans="1:20" s="34" customFormat="1" ht="14.25" customHeight="1" x14ac:dyDescent="0.2">
      <c r="A69" s="31"/>
      <c r="B69" s="69" t="s">
        <v>247</v>
      </c>
      <c r="C69" s="69"/>
      <c r="D69" s="69"/>
      <c r="E69" s="69"/>
      <c r="F69" s="69"/>
      <c r="G69" s="69"/>
      <c r="H69" s="69"/>
      <c r="I69" s="69"/>
      <c r="J69" s="69"/>
      <c r="K69" s="69"/>
      <c r="L69" s="69"/>
      <c r="M69" s="69"/>
      <c r="N69" s="33"/>
      <c r="O69" s="464"/>
    </row>
    <row r="70" spans="1:20" s="290" customFormat="1" ht="9.9499999999999993" customHeight="1" x14ac:dyDescent="0.2">
      <c r="A70" s="289"/>
      <c r="C70" s="11"/>
      <c r="D70" s="11"/>
      <c r="E70" s="29"/>
      <c r="F70" s="29"/>
      <c r="G70" s="29"/>
      <c r="H70" s="29"/>
      <c r="I70" s="29"/>
      <c r="J70" s="29"/>
      <c r="K70" s="29"/>
      <c r="L70" s="29"/>
      <c r="M70" s="11"/>
      <c r="N70" s="30"/>
      <c r="P70" s="11"/>
      <c r="Q70" s="11"/>
      <c r="R70" s="11"/>
      <c r="S70" s="11"/>
      <c r="T70" s="11"/>
    </row>
    <row r="71" spans="1:20" s="34" customFormat="1" ht="14.25" customHeight="1" x14ac:dyDescent="0.2">
      <c r="A71" s="31"/>
      <c r="B71" s="469" t="s">
        <v>427</v>
      </c>
      <c r="E71" s="32"/>
      <c r="F71" s="32"/>
      <c r="G71" s="32"/>
      <c r="H71" s="32"/>
      <c r="I71" s="32"/>
      <c r="J71" s="32"/>
      <c r="K71" s="32"/>
      <c r="L71" s="376"/>
      <c r="M71" s="66"/>
      <c r="N71" s="33"/>
      <c r="O71" s="465"/>
    </row>
    <row r="72" spans="1:20" s="290" customFormat="1" ht="3" customHeight="1" x14ac:dyDescent="0.2">
      <c r="A72" s="289"/>
      <c r="C72" s="11"/>
      <c r="D72" s="11"/>
      <c r="E72" s="11"/>
      <c r="F72" s="11"/>
      <c r="G72" s="11"/>
      <c r="H72" s="11"/>
      <c r="I72" s="11"/>
      <c r="J72" s="11"/>
      <c r="K72" s="11"/>
      <c r="M72" s="67"/>
      <c r="N72" s="30"/>
      <c r="P72" s="11"/>
      <c r="Q72" s="11"/>
      <c r="R72" s="11"/>
      <c r="S72" s="11"/>
      <c r="T72" s="11"/>
    </row>
    <row r="73" spans="1:20" s="34" customFormat="1" ht="14.25" customHeight="1" x14ac:dyDescent="0.2">
      <c r="A73" s="31"/>
      <c r="B73" s="469" t="s">
        <v>648</v>
      </c>
      <c r="E73" s="32"/>
      <c r="F73" s="32"/>
      <c r="G73" s="32"/>
      <c r="H73" s="32"/>
      <c r="I73" s="32"/>
      <c r="J73" s="32"/>
      <c r="K73" s="32"/>
      <c r="L73" s="376"/>
      <c r="M73" s="66"/>
      <c r="N73" s="33"/>
      <c r="O73" s="465"/>
    </row>
    <row r="74" spans="1:20" s="290" customFormat="1" ht="14.25" customHeight="1" x14ac:dyDescent="0.2">
      <c r="A74" s="35"/>
      <c r="B74" s="36"/>
      <c r="C74" s="36"/>
      <c r="D74" s="36"/>
      <c r="E74" s="36"/>
      <c r="F74" s="36"/>
      <c r="G74" s="36"/>
      <c r="H74" s="36"/>
      <c r="I74" s="36"/>
      <c r="J74" s="36"/>
      <c r="K74" s="36"/>
      <c r="L74" s="36"/>
      <c r="M74" s="36"/>
      <c r="N74" s="447"/>
      <c r="P74" s="11"/>
      <c r="Q74" s="11"/>
      <c r="R74" s="11"/>
      <c r="S74" s="11"/>
      <c r="T74" s="11"/>
    </row>
    <row r="75" spans="1:20" s="34" customFormat="1" ht="14.25" customHeight="1" thickBot="1" x14ac:dyDescent="0.25">
      <c r="A75" s="3"/>
      <c r="B75" s="3"/>
      <c r="C75" s="3"/>
      <c r="D75" s="3"/>
      <c r="E75" s="3"/>
      <c r="F75" s="3"/>
      <c r="G75" s="3"/>
      <c r="H75" s="3"/>
      <c r="I75" s="3"/>
      <c r="J75" s="3"/>
      <c r="K75" s="3"/>
      <c r="L75" s="3"/>
      <c r="M75" s="3"/>
      <c r="N75" s="3"/>
      <c r="O75" s="464"/>
      <c r="P75" s="466"/>
    </row>
    <row r="76" spans="1:20" ht="12.75" customHeight="1" thickBot="1" x14ac:dyDescent="0.25">
      <c r="D76" s="1356" t="s">
        <v>484</v>
      </c>
      <c r="E76" s="1357"/>
      <c r="F76" s="1357"/>
      <c r="G76" s="1357"/>
      <c r="H76" s="1357"/>
      <c r="I76" s="1357"/>
      <c r="J76" s="1358"/>
      <c r="O76" s="463"/>
    </row>
    <row r="78" spans="1:20" x14ac:dyDescent="0.2">
      <c r="O78" s="463"/>
    </row>
  </sheetData>
  <sheetProtection algorithmName="SHA-512" hashValue="7re8NVJNvcfjL5HE5uNQpCxQjGaysP6lqaVEiU1XjnI3Wm0phyyw4uvzpg2sm0d97CJxl65ck+lPkLvcvLeaMA==" saltValue="t2FvgyrZtXgxwGARL6qNQA==" spinCount="100000" sheet="1" objects="1" scenarios="1"/>
  <customSheetViews>
    <customSheetView guid="{9119B1A0-FD79-4FE4-B78E-10E0AEB8080B}" showPageBreaks="1" showGridLines="0" fitToPage="1" printArea="1" view="pageLayout" topLeftCell="A58">
      <selection activeCell="C16" sqref="C16"/>
      <pageMargins left="0.70866141732283472" right="0.70866141732283472" top="0.78740157480314965" bottom="0.78740157480314965" header="0.31496062992125984" footer="0.31496062992125984"/>
      <pageSetup paperSize="9" scale="77" orientation="portrait" r:id="rId1"/>
      <headerFooter>
        <oddHeader>&amp;C&amp;9Seite 1</oddHeader>
        <oddFooter xml:space="preserve">&amp;L&amp;8Version: 21.06.2022&amp;C&amp;8Verhandlungsunterlagen SGB XI (vereinfacht B1)&amp;R&amp;8PSK-Beschluss Nr. 3-2022 vom 21.06.2022 </oddFooter>
      </headerFooter>
    </customSheetView>
  </customSheetViews>
  <mergeCells count="30">
    <mergeCell ref="D32:H32"/>
    <mergeCell ref="J32:M32"/>
    <mergeCell ref="D12:M12"/>
    <mergeCell ref="D14:M14"/>
    <mergeCell ref="D16:M16"/>
    <mergeCell ref="D18:H18"/>
    <mergeCell ref="J18:M18"/>
    <mergeCell ref="D20:H20"/>
    <mergeCell ref="D30:M30"/>
    <mergeCell ref="J20:M20"/>
    <mergeCell ref="D22:H22"/>
    <mergeCell ref="J22:M22"/>
    <mergeCell ref="D26:M26"/>
    <mergeCell ref="D28:M28"/>
    <mergeCell ref="D36:M36"/>
    <mergeCell ref="H41:M41"/>
    <mergeCell ref="F52:G52"/>
    <mergeCell ref="D76:J76"/>
    <mergeCell ref="D34:H34"/>
    <mergeCell ref="J34:M34"/>
    <mergeCell ref="F54:G54"/>
    <mergeCell ref="H8:K8"/>
    <mergeCell ref="L7:M7"/>
    <mergeCell ref="A1:N1"/>
    <mergeCell ref="A2:N2"/>
    <mergeCell ref="A3:N3"/>
    <mergeCell ref="D6:G6"/>
    <mergeCell ref="L6:M6"/>
    <mergeCell ref="A5:B5"/>
    <mergeCell ref="L4:M4"/>
  </mergeCells>
  <conditionalFormatting sqref="D8:K8">
    <cfRule type="expression" dxfId="76" priority="2">
      <formula>$D$7&lt;&gt;"kzp"</formula>
    </cfRule>
  </conditionalFormatting>
  <conditionalFormatting sqref="K7:M7 L8:M8">
    <cfRule type="expression" dxfId="75" priority="72">
      <formula>$M$48=0</formula>
    </cfRule>
  </conditionalFormatting>
  <conditionalFormatting sqref="L41">
    <cfRule type="expression" dxfId="74" priority="74">
      <formula>Wennoder($M$48&lt;0,$M$48=0,"")</formula>
    </cfRule>
  </conditionalFormatting>
  <dataValidations xWindow="279" yWindow="275" count="6">
    <dataValidation type="date" errorStyle="warning" operator="greaterThan" allowBlank="1" showInputMessage="1" showErrorMessage="1" errorTitle="Laufzeitbeginn im Jahr 2017" error="Laufzeitbeginn ab 01.01.2017 möglich" sqref="H53" xr:uid="{00000000-0002-0000-0200-000000000000}">
      <formula1>42735</formula1>
    </dataValidation>
    <dataValidation allowBlank="1" showInputMessage="1" showErrorMessage="1" promptTitle="Quorum" prompt="Bitte Hinweise zur Berechnung des Anteils beachten!" sqref="K67" xr:uid="{00000000-0002-0000-0200-000001000000}"/>
    <dataValidation type="whole" errorStyle="information" allowBlank="1" showInputMessage="1" showErrorMessage="1" errorTitle="angebundene KZP" promptTitle="angebundene KZP" prompt="siehe allgemeine Hinweise" sqref="L49" xr:uid="{00000000-0002-0000-0200-000002000000}">
      <formula1>1</formula1>
      <formula2>30</formula2>
    </dataValidation>
    <dataValidation type="list" allowBlank="1" showInputMessage="1" showErrorMessage="1" sqref="L73 L71" xr:uid="{00000000-0002-0000-0200-000003000000}">
      <formula1>"ja,nein"</formula1>
    </dataValidation>
    <dataValidation errorStyle="information" allowBlank="1" errorTitle="angebundene / integrierte KZP" promptTitle="angebundene / integrierte KZP" prompt="siehe allgemeine Hinweise des aktuell in der PSK abgestimmten Verhandlungsantrages für vollstationäre Pflegeeinrichtungen" sqref="M48" xr:uid="{00000000-0002-0000-0200-000004000000}"/>
    <dataValidation type="date" errorStyle="warning" operator="greaterThan" allowBlank="1" showInputMessage="1" showErrorMessage="1" error="Laufzeitbeginn nach 01.01.2025 möglich" sqref="H52" xr:uid="{00000000-0002-0000-0200-000005000000}">
      <formula1>45657</formula1>
    </dataValidation>
  </dataValidations>
  <hyperlinks>
    <hyperlink ref="D76" location="'Anlage 1'!A1" display="Anlage 1" xr:uid="{00000000-0004-0000-0200-000000000000}"/>
    <hyperlink ref="D76:J76" location="B1_Kalkulation!A1" display="gehe weiter zu B1_Kalkulation" xr:uid="{00000000-0004-0000-0200-000001000000}"/>
  </hyperlinks>
  <pageMargins left="0.70866141732283472" right="0.70866141732283472" top="0.78740157480314965" bottom="0.78740157480314965" header="0.31496062992125984" footer="0.31496062992125984"/>
  <pageSetup paperSize="9" scale="77" orientation="portrait"/>
  <headerFooter>
    <oddHeader>&amp;C&amp;9Seite 1</oddHeader>
    <oddFooter>&amp;L&amp;8Version: 25.11.2024&amp;C&amp;8Verhandlungsunterlagen SGB XI (vereinfacht B1)&amp;R&amp;8PSK-Beschluss vom 07.11.2024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828675</xdr:colOff>
                    <xdr:row>41</xdr:row>
                    <xdr:rowOff>38100</xdr:rowOff>
                  </from>
                  <to>
                    <xdr:col>9</xdr:col>
                    <xdr:colOff>66675</xdr:colOff>
                    <xdr:row>44</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266700</xdr:colOff>
                    <xdr:row>48</xdr:row>
                    <xdr:rowOff>133350</xdr:rowOff>
                  </from>
                  <to>
                    <xdr:col>12</xdr:col>
                    <xdr:colOff>485775</xdr:colOff>
                    <xdr:row>50</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5600D652-B86D-4CFE-84C9-B7ED538E8B06}">
            <xm:f>KAT!$A$160="nein"</xm:f>
            <x14:dxf>
              <fill>
                <patternFill>
                  <bgColor theme="0"/>
                </patternFill>
              </fill>
            </x14:dxf>
          </x14:cfRule>
          <xm:sqref>D7:F7 J9 D11 K45:K46 H49 M52:M53 K68</xm:sqref>
        </x14:conditionalFormatting>
      </x14:conditionalFormattings>
    </ext>
    <ext xmlns:x14="http://schemas.microsoft.com/office/spreadsheetml/2009/9/main" uri="{CCE6A557-97BC-4b89-ADB6-D9C93CAAB3DF}">
      <x14:dataValidations xmlns:xm="http://schemas.microsoft.com/office/excel/2006/main" xWindow="279" yWindow="275" count="3">
        <x14:dataValidation type="list" allowBlank="1" showInputMessage="1" showErrorMessage="1" errorTitle="Einrichtungsart" error="bitte aus Liste auswählen" promptTitle="Auswahlmöglichkeit" prompt="teilstationäre Pflege_x000a_Kurzzeitpflege_x000a__x000a_" xr:uid="{00000000-0002-0000-0200-000006000000}">
          <x14:formula1>
            <xm:f>KAT!$A$2:$A$3</xm:f>
          </x14:formula1>
          <xm:sqref>D6:G6</xm:sqref>
        </x14:dataValidation>
        <x14:dataValidation type="list" allowBlank="1" showInputMessage="1" showErrorMessage="1" errorTitle="Auswahlmöglichkeit" error="Bitte aus Liste wählen!" xr:uid="{00000000-0002-0000-0200-000007000000}">
          <x14:formula1>
            <xm:f>KAT!$F$2:$F$4</xm:f>
          </x14:formula1>
          <xm:sqref>C41</xm:sqref>
        </x14:dataValidation>
        <x14:dataValidation type="list" allowBlank="1" showInputMessage="1" showErrorMessage="1" xr:uid="{00000000-0002-0000-0200-000008000000}">
          <x14:formula1>
            <xm:f>KAT!$A$10:$A$11</xm:f>
          </x14:formula1>
          <xm:sqref>H8:K8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I71"/>
  <sheetViews>
    <sheetView showGridLines="0" zoomScaleNormal="100" workbookViewId="0">
      <selection activeCell="C4" sqref="C4:D4"/>
    </sheetView>
  </sheetViews>
  <sheetFormatPr baseColWidth="10" defaultRowHeight="14.25" x14ac:dyDescent="0.2"/>
  <cols>
    <col min="1" max="1" width="4.375" customWidth="1"/>
    <col min="2" max="2" width="20.875" customWidth="1"/>
    <col min="3" max="3" width="23.375" customWidth="1"/>
    <col min="4" max="4" width="23.5" customWidth="1"/>
    <col min="5" max="5" width="20.625" customWidth="1"/>
    <col min="6" max="6" width="17.625" customWidth="1"/>
    <col min="7" max="7" width="2.375" customWidth="1"/>
    <col min="8" max="8" width="21.625" customWidth="1"/>
    <col min="9" max="10" width="17.625" customWidth="1"/>
    <col min="11" max="11" width="20.625" customWidth="1"/>
    <col min="12" max="12" width="17.625" customWidth="1"/>
    <col min="13" max="13" width="22.375" customWidth="1"/>
    <col min="14" max="14" width="5.25" customWidth="1"/>
    <col min="15" max="15" width="13.75" customWidth="1"/>
    <col min="16" max="17" width="12.625" customWidth="1"/>
    <col min="18" max="18" width="12.75" customWidth="1"/>
    <col min="19" max="19" width="1.625" customWidth="1"/>
    <col min="20" max="20" width="11" customWidth="1"/>
    <col min="21" max="22" width="11" style="730" hidden="1" customWidth="1"/>
    <col min="23" max="23" width="28.25" style="730" hidden="1" customWidth="1"/>
    <col min="24" max="24" width="55" style="730" hidden="1" customWidth="1"/>
    <col min="25" max="33" width="11" style="730" hidden="1" customWidth="1"/>
    <col min="34" max="46" width="11" customWidth="1"/>
  </cols>
  <sheetData>
    <row r="1" spans="1:26" ht="15" x14ac:dyDescent="0.25">
      <c r="A1" s="1405" t="str">
        <f>'B1_Allgemeine Angaben'!A1:N1</f>
        <v>Vereinfachtes Verfahren der Aufforderung zum Abschluss einer Pflegesatzvereinbarung gemäß § 84, 85 SGB XI mit Orientierung auf das regional übliche Entgeltniveau (Stand 31.10.2024)</v>
      </c>
      <c r="B1" s="1406"/>
      <c r="C1" s="1406"/>
      <c r="D1" s="1406"/>
      <c r="E1" s="1406"/>
      <c r="F1" s="1406"/>
      <c r="G1" s="1406"/>
      <c r="H1" s="1406"/>
      <c r="I1" s="1406"/>
      <c r="J1" s="1406"/>
      <c r="K1" s="1406"/>
      <c r="L1" s="1406"/>
      <c r="M1" s="1406"/>
      <c r="N1" s="1406"/>
      <c r="O1" s="1406"/>
      <c r="P1" s="1406"/>
      <c r="Q1" s="1406"/>
      <c r="R1" s="243"/>
      <c r="S1" s="364"/>
      <c r="U1" s="725"/>
      <c r="V1" s="726"/>
      <c r="W1" s="727"/>
      <c r="X1" s="728"/>
      <c r="Y1" s="729"/>
      <c r="Z1" s="729"/>
    </row>
    <row r="2" spans="1:26" ht="15" x14ac:dyDescent="0.25">
      <c r="A2" s="1407" t="s">
        <v>319</v>
      </c>
      <c r="B2" s="1408"/>
      <c r="C2" s="1408"/>
      <c r="D2" s="1408"/>
      <c r="E2" s="1408"/>
      <c r="F2" s="1408"/>
      <c r="G2" s="1408"/>
      <c r="H2" s="1408"/>
      <c r="I2" s="1408"/>
      <c r="J2" s="1408"/>
      <c r="K2" s="1408"/>
      <c r="L2" s="1408"/>
      <c r="M2" s="1408"/>
      <c r="N2" s="1408"/>
      <c r="O2" s="1408"/>
      <c r="P2" s="1408"/>
      <c r="Q2" s="1408"/>
      <c r="R2" s="296"/>
      <c r="S2" s="662"/>
    </row>
    <row r="3" spans="1:26" ht="15" x14ac:dyDescent="0.25">
      <c r="A3" s="663"/>
      <c r="B3" s="370" t="s">
        <v>337</v>
      </c>
      <c r="C3" s="1416">
        <f>'B1_Allgemeine Angaben'!D12:D12</f>
        <v>0</v>
      </c>
      <c r="D3" s="1416"/>
      <c r="E3" s="364"/>
      <c r="F3" s="296"/>
      <c r="G3" s="296"/>
      <c r="H3" s="296"/>
      <c r="I3" s="296"/>
      <c r="J3" s="296"/>
      <c r="K3" s="296" t="str">
        <f>'B1_Allgemeine Angaben'!K7</f>
        <v>IK angebundene KZP:</v>
      </c>
      <c r="L3" s="296">
        <f>'B1_Allgemeine Angaben'!L7:L7</f>
        <v>0</v>
      </c>
      <c r="M3" s="296"/>
      <c r="N3" s="296"/>
      <c r="O3" s="370" t="s">
        <v>2</v>
      </c>
      <c r="P3" s="371"/>
      <c r="Q3" s="1418">
        <f>IFERROR('B1_Allgemeine Angaben'!L6:L6,"")</f>
        <v>0</v>
      </c>
      <c r="R3" s="1419"/>
      <c r="S3" s="662"/>
    </row>
    <row r="4" spans="1:26" x14ac:dyDescent="0.2">
      <c r="A4" s="664"/>
      <c r="B4" s="363" t="s">
        <v>338</v>
      </c>
      <c r="C4" s="1417">
        <f>'B1_Allgemeine Angaben'!D16:D16</f>
        <v>0</v>
      </c>
      <c r="D4" s="1417"/>
      <c r="E4" s="365"/>
      <c r="F4" s="296">
        <f>IF('B1_Allgemeine Angaben'!K45&lt;14.01,10,IF('B1_Allgemeine Angaben'!K45&lt;26.01,12,24))</f>
        <v>10</v>
      </c>
      <c r="G4" s="296"/>
      <c r="H4" s="296"/>
      <c r="I4" s="296"/>
      <c r="J4" s="296"/>
      <c r="K4" s="296"/>
      <c r="L4" s="296"/>
      <c r="M4" s="296"/>
      <c r="N4" s="296"/>
      <c r="O4" s="363" t="s">
        <v>330</v>
      </c>
      <c r="P4" s="372"/>
      <c r="Q4" s="1420">
        <f>IFERROR('B1_Allgemeine Angaben'!L4,"")</f>
        <v>0</v>
      </c>
      <c r="R4" s="1421"/>
      <c r="S4" s="662"/>
    </row>
    <row r="5" spans="1:26" ht="9" customHeight="1" x14ac:dyDescent="0.2">
      <c r="A5" s="20"/>
      <c r="S5" s="19"/>
    </row>
    <row r="6" spans="1:26" x14ac:dyDescent="0.2">
      <c r="A6" s="20"/>
      <c r="B6" s="236" t="s">
        <v>164</v>
      </c>
      <c r="D6" s="848"/>
      <c r="E6" s="1"/>
      <c r="H6" s="236" t="s">
        <v>28</v>
      </c>
      <c r="I6" s="381"/>
      <c r="K6" s="236" t="s">
        <v>1</v>
      </c>
      <c r="L6" s="227" t="str">
        <f>IF('B1_Allgemeine Angaben'!D6&gt;0,'B1_Allgemeine Angaben'!D6,"")</f>
        <v/>
      </c>
      <c r="M6" s="271"/>
      <c r="S6" s="19"/>
      <c r="U6" s="731"/>
    </row>
    <row r="7" spans="1:26" ht="14.25" customHeight="1" x14ac:dyDescent="0.25">
      <c r="A7" s="20"/>
      <c r="B7" s="849" t="s">
        <v>917</v>
      </c>
      <c r="C7" s="857">
        <f>IF('B1_Allgemeine Angaben'!K45-3&gt;24,24,'B1_Allgemeine Angaben'!K45-3)</f>
        <v>-3</v>
      </c>
      <c r="D7" s="850"/>
      <c r="E7" s="851" t="s">
        <v>625</v>
      </c>
      <c r="F7" s="855" t="e">
        <f>(D7/('B1_Allgemeine Angaben'!L47*365/12*C7))</f>
        <v>#DIV/0!</v>
      </c>
      <c r="S7" s="19"/>
      <c r="U7" s="731"/>
    </row>
    <row r="8" spans="1:26" ht="15" x14ac:dyDescent="0.25">
      <c r="A8" s="20"/>
      <c r="B8" s="61" t="s">
        <v>431</v>
      </c>
      <c r="F8" s="252"/>
      <c r="H8" s="237" t="s">
        <v>430</v>
      </c>
      <c r="I8" s="21"/>
      <c r="J8" s="21"/>
      <c r="K8" s="21"/>
      <c r="L8" s="21"/>
      <c r="M8" s="21"/>
      <c r="N8" s="21"/>
      <c r="O8" s="21"/>
      <c r="P8" s="21"/>
      <c r="Q8" s="21"/>
      <c r="R8" s="21"/>
      <c r="S8" s="167"/>
      <c r="U8" s="731"/>
      <c r="V8" s="731"/>
    </row>
    <row r="9" spans="1:26" ht="5.25" customHeight="1" x14ac:dyDescent="0.2">
      <c r="A9" s="20"/>
      <c r="D9" s="239"/>
      <c r="H9" s="20"/>
      <c r="J9" s="239"/>
      <c r="S9" s="19"/>
    </row>
    <row r="10" spans="1:26" x14ac:dyDescent="0.2">
      <c r="A10" s="20"/>
      <c r="B10" t="s">
        <v>295</v>
      </c>
      <c r="C10" s="238" t="s">
        <v>248</v>
      </c>
      <c r="D10" s="362">
        <f>'B1_Allgemeine Angaben'!H54</f>
        <v>0</v>
      </c>
      <c r="E10" s="238" t="s">
        <v>138</v>
      </c>
      <c r="F10" s="362">
        <f>'B1_Allgemeine Angaben'!K54</f>
        <v>0</v>
      </c>
      <c r="H10" s="20" t="s">
        <v>295</v>
      </c>
      <c r="I10" s="238" t="s">
        <v>248</v>
      </c>
      <c r="J10" s="240" t="str">
        <f>IF('B1_Allgemeine Angaben'!H52=0,"",'B1_Allgemeine Angaben'!H52)</f>
        <v/>
      </c>
      <c r="K10" s="238" t="s">
        <v>138</v>
      </c>
      <c r="L10" s="240">
        <f>IF('B1_Allgemeine Angaben'!K52=0,0,'B1_Allgemeine Angaben'!K52)</f>
        <v>0</v>
      </c>
      <c r="S10" s="19"/>
      <c r="U10" s="731"/>
    </row>
    <row r="11" spans="1:26" ht="9.9499999999999993" customHeight="1" x14ac:dyDescent="0.2">
      <c r="A11" s="234"/>
      <c r="B11" s="233"/>
      <c r="C11" s="233"/>
      <c r="D11" s="233"/>
      <c r="E11" s="233"/>
      <c r="F11" s="232"/>
      <c r="G11" s="233"/>
      <c r="H11" s="234"/>
      <c r="I11" s="233"/>
      <c r="J11" s="233"/>
      <c r="K11" s="233"/>
      <c r="L11" s="233"/>
      <c r="S11" s="19"/>
    </row>
    <row r="12" spans="1:26" x14ac:dyDescent="0.2">
      <c r="A12" s="234"/>
      <c r="B12" s="228" t="s">
        <v>250</v>
      </c>
      <c r="C12" s="229"/>
      <c r="D12" s="229"/>
      <c r="E12" s="186" t="s">
        <v>261</v>
      </c>
      <c r="F12" s="227">
        <f>SUM(B14:F14)</f>
        <v>0</v>
      </c>
      <c r="G12" s="20"/>
      <c r="H12" s="228" t="s">
        <v>250</v>
      </c>
      <c r="I12" s="229"/>
      <c r="J12" s="229"/>
      <c r="K12" s="186" t="s">
        <v>261</v>
      </c>
      <c r="L12" s="186">
        <f>SUM(H14:L14)</f>
        <v>0</v>
      </c>
      <c r="M12" s="810" t="str">
        <f>IF(L12&lt;&gt;'B1_Allgemeine Angaben'!L47,"Prognose entspricht nicht Platzzahl!","")</f>
        <v/>
      </c>
      <c r="N12" s="463"/>
      <c r="O12" s="358"/>
      <c r="P12" s="252"/>
      <c r="Q12" s="252"/>
      <c r="R12" s="252"/>
      <c r="S12" s="253"/>
    </row>
    <row r="13" spans="1:26" x14ac:dyDescent="0.2">
      <c r="A13" s="234"/>
      <c r="B13" s="230" t="s">
        <v>57</v>
      </c>
      <c r="C13" s="230" t="s">
        <v>58</v>
      </c>
      <c r="D13" s="230" t="s">
        <v>59</v>
      </c>
      <c r="E13" s="230" t="s">
        <v>60</v>
      </c>
      <c r="F13" s="231" t="s">
        <v>61</v>
      </c>
      <c r="G13" s="20"/>
      <c r="H13" s="230" t="s">
        <v>57</v>
      </c>
      <c r="I13" s="230" t="s">
        <v>58</v>
      </c>
      <c r="J13" s="230" t="s">
        <v>59</v>
      </c>
      <c r="K13" s="230" t="s">
        <v>60</v>
      </c>
      <c r="L13" s="230" t="s">
        <v>61</v>
      </c>
      <c r="O13" s="252"/>
      <c r="P13" s="252"/>
      <c r="Q13" s="252"/>
      <c r="R13" s="252"/>
      <c r="S13" s="253"/>
    </row>
    <row r="14" spans="1:26" x14ac:dyDescent="0.2">
      <c r="A14" s="234"/>
      <c r="B14" s="381"/>
      <c r="C14" s="381"/>
      <c r="D14" s="381"/>
      <c r="E14" s="381"/>
      <c r="F14" s="382"/>
      <c r="G14" s="20"/>
      <c r="H14" s="381"/>
      <c r="I14" s="381"/>
      <c r="J14" s="381"/>
      <c r="K14" s="381"/>
      <c r="L14" s="381"/>
      <c r="O14" s="252"/>
      <c r="P14" s="252"/>
      <c r="Q14" s="252"/>
      <c r="R14" s="252"/>
      <c r="S14" s="253"/>
    </row>
    <row r="15" spans="1:26" x14ac:dyDescent="0.2">
      <c r="A15" s="234"/>
      <c r="B15" s="357"/>
      <c r="C15" s="252"/>
      <c r="D15" s="252"/>
      <c r="E15" s="252"/>
      <c r="F15" s="252"/>
      <c r="G15" s="20"/>
      <c r="H15" s="275"/>
      <c r="I15" s="252"/>
      <c r="J15" s="252"/>
      <c r="K15" s="252"/>
      <c r="L15" s="252"/>
      <c r="O15" s="252"/>
      <c r="P15" s="252"/>
      <c r="Q15" s="252"/>
      <c r="R15" s="252"/>
      <c r="S15" s="253"/>
    </row>
    <row r="16" spans="1:26" x14ac:dyDescent="0.2">
      <c r="A16" s="234"/>
      <c r="B16" s="235" t="s">
        <v>742</v>
      </c>
      <c r="C16" s="247"/>
      <c r="D16" s="373"/>
      <c r="E16" s="186" t="s">
        <v>261</v>
      </c>
      <c r="F16" s="271">
        <f>SUM(B17:F17)</f>
        <v>0</v>
      </c>
      <c r="G16" s="20"/>
      <c r="H16" s="235" t="s">
        <v>742</v>
      </c>
      <c r="I16" s="247"/>
      <c r="J16" s="373"/>
      <c r="K16" s="186" t="s">
        <v>261</v>
      </c>
      <c r="L16" s="271">
        <f>SUM(H17:L17)</f>
        <v>0</v>
      </c>
      <c r="M16" s="810" t="str">
        <f>IF(L16&lt;&gt;'B1_Allgemeine Angaben'!M48,"Prognose entspricht nicht Platzzahl!","")</f>
        <v/>
      </c>
      <c r="N16" s="463"/>
      <c r="O16" s="252"/>
      <c r="P16" s="252"/>
      <c r="Q16" s="252"/>
      <c r="R16" s="252"/>
      <c r="S16" s="253"/>
    </row>
    <row r="17" spans="1:24" x14ac:dyDescent="0.2">
      <c r="A17" s="234"/>
      <c r="B17" s="381"/>
      <c r="C17" s="381"/>
      <c r="D17" s="381"/>
      <c r="E17" s="381"/>
      <c r="F17" s="381"/>
      <c r="G17" s="20"/>
      <c r="H17" s="381"/>
      <c r="I17" s="381"/>
      <c r="J17" s="381"/>
      <c r="K17" s="381"/>
      <c r="L17" s="381"/>
      <c r="O17" s="252"/>
      <c r="P17" s="252"/>
      <c r="Q17" s="252"/>
      <c r="R17" s="252"/>
      <c r="S17" s="253"/>
    </row>
    <row r="18" spans="1:24" ht="18.75" customHeight="1" thickBot="1" x14ac:dyDescent="0.3">
      <c r="A18" s="234"/>
      <c r="G18" s="20"/>
      <c r="H18" s="20"/>
      <c r="I18" s="282"/>
      <c r="J18" s="283"/>
      <c r="K18" s="283"/>
      <c r="L18" s="90"/>
      <c r="M18" s="690" t="s">
        <v>442</v>
      </c>
      <c r="N18" s="694"/>
      <c r="P18" s="1395" t="s">
        <v>436</v>
      </c>
      <c r="Q18" s="1396"/>
      <c r="R18" s="1396"/>
      <c r="S18" s="1397"/>
    </row>
    <row r="19" spans="1:24" ht="51.75" customHeight="1" thickBot="1" x14ac:dyDescent="0.25">
      <c r="A19" s="234"/>
      <c r="B19" s="762" t="s">
        <v>263</v>
      </c>
      <c r="C19" s="223" t="s">
        <v>249</v>
      </c>
      <c r="D19" s="224" t="s">
        <v>262</v>
      </c>
      <c r="E19" s="1192" t="s">
        <v>443</v>
      </c>
      <c r="F19" s="756"/>
      <c r="H19" s="761" t="s">
        <v>263</v>
      </c>
      <c r="I19" s="223" t="s">
        <v>249</v>
      </c>
      <c r="J19" s="224" t="s">
        <v>262</v>
      </c>
      <c r="K19" s="1191" t="s">
        <v>1022</v>
      </c>
      <c r="L19" s="757">
        <f>KAT!O103</f>
        <v>0</v>
      </c>
      <c r="M19" s="753"/>
      <c r="N19" s="695"/>
      <c r="O19" s="903" t="s">
        <v>743</v>
      </c>
      <c r="P19" s="1425" t="s">
        <v>437</v>
      </c>
      <c r="Q19" s="1426"/>
      <c r="R19" s="1426"/>
      <c r="S19" s="1427"/>
      <c r="U19" s="752"/>
    </row>
    <row r="20" spans="1:24" x14ac:dyDescent="0.2">
      <c r="A20" s="234"/>
      <c r="B20" s="221" t="s">
        <v>57</v>
      </c>
      <c r="C20" s="383"/>
      <c r="D20" s="276" t="str">
        <f>IFERROR(ROUND(B14/C20,3),"")</f>
        <v/>
      </c>
      <c r="G20" s="20"/>
      <c r="H20" s="221" t="s">
        <v>57</v>
      </c>
      <c r="I20" s="384"/>
      <c r="J20" s="276" t="str">
        <f>IFERROR(ROUND(H14/I20,3),"")</f>
        <v/>
      </c>
      <c r="L20" s="1156" t="str">
        <f>IF(M19&lt;&gt;0,KAT!Q103,"")</f>
        <v/>
      </c>
      <c r="M20" s="691"/>
      <c r="N20" s="691"/>
      <c r="O20" s="683">
        <f>KAT!G81</f>
        <v>0</v>
      </c>
      <c r="P20" s="1374"/>
      <c r="Q20" s="1375"/>
      <c r="R20" s="1375"/>
      <c r="S20" s="1376"/>
      <c r="U20" s="731"/>
    </row>
    <row r="21" spans="1:24" x14ac:dyDescent="0.2">
      <c r="A21" s="234"/>
      <c r="B21" s="221" t="s">
        <v>58</v>
      </c>
      <c r="C21" s="384"/>
      <c r="D21" s="276" t="str">
        <f>IFERROR(ROUND(C14/C21,3),"")</f>
        <v/>
      </c>
      <c r="G21" s="20"/>
      <c r="H21" s="221" t="s">
        <v>58</v>
      </c>
      <c r="I21" s="384"/>
      <c r="J21" s="276" t="str">
        <f>IFERROR(ROUND(I14/I21,3),"")</f>
        <v/>
      </c>
      <c r="M21" s="691"/>
      <c r="N21" s="691"/>
      <c r="O21" s="683">
        <f>KAT!G82</f>
        <v>0</v>
      </c>
      <c r="P21" s="1377"/>
      <c r="Q21" s="1378"/>
      <c r="R21" s="1378"/>
      <c r="S21" s="1379"/>
    </row>
    <row r="22" spans="1:24" ht="15" x14ac:dyDescent="0.25">
      <c r="A22" s="234"/>
      <c r="B22" s="221" t="s">
        <v>59</v>
      </c>
      <c r="C22" s="384"/>
      <c r="D22" s="276" t="str">
        <f>IFERROR(ROUND(D14/C22,3),"")</f>
        <v/>
      </c>
      <c r="G22" s="20"/>
      <c r="H22" s="221" t="s">
        <v>59</v>
      </c>
      <c r="I22" s="384"/>
      <c r="J22" s="276" t="str">
        <f>IFERROR(ROUND(J14/I22,3),"")</f>
        <v/>
      </c>
      <c r="K22" s="356"/>
      <c r="L22" s="277"/>
      <c r="M22" s="691"/>
      <c r="N22" s="691"/>
      <c r="O22" s="683">
        <f>KAT!G83</f>
        <v>0</v>
      </c>
      <c r="P22" s="1377"/>
      <c r="Q22" s="1378"/>
      <c r="R22" s="1378"/>
      <c r="S22" s="1379"/>
      <c r="U22" s="731"/>
    </row>
    <row r="23" spans="1:24" ht="15" x14ac:dyDescent="0.25">
      <c r="A23" s="234"/>
      <c r="B23" s="221" t="s">
        <v>60</v>
      </c>
      <c r="C23" s="384"/>
      <c r="D23" s="209" t="str">
        <f>IFERROR(ROUND(E14/C23,3),"")</f>
        <v/>
      </c>
      <c r="E23" s="225" t="s">
        <v>257</v>
      </c>
      <c r="G23" s="20"/>
      <c r="H23" s="221" t="s">
        <v>60</v>
      </c>
      <c r="I23" s="384"/>
      <c r="J23" s="276" t="str">
        <f>IFERROR(ROUND(K14/I23,3),"")</f>
        <v/>
      </c>
      <c r="K23" s="467" t="s">
        <v>257</v>
      </c>
      <c r="L23" s="355"/>
      <c r="M23" s="690" t="s">
        <v>442</v>
      </c>
      <c r="N23" s="694"/>
      <c r="O23" s="683">
        <f>KAT!G84</f>
        <v>0</v>
      </c>
      <c r="P23" s="1377"/>
      <c r="Q23" s="1378"/>
      <c r="R23" s="1378"/>
      <c r="S23" s="1379"/>
    </row>
    <row r="24" spans="1:24" x14ac:dyDescent="0.2">
      <c r="A24" s="234"/>
      <c r="B24" s="221" t="s">
        <v>61</v>
      </c>
      <c r="C24" s="384"/>
      <c r="D24" s="209" t="str">
        <f>IFERROR(ROUND(F14/C24,3),"")</f>
        <v/>
      </c>
      <c r="E24" s="226" t="s">
        <v>260</v>
      </c>
      <c r="F24" s="755" t="s">
        <v>266</v>
      </c>
      <c r="G24" s="20"/>
      <c r="H24" s="221" t="s">
        <v>61</v>
      </c>
      <c r="I24" s="384"/>
      <c r="J24" s="276" t="str">
        <f>IFERROR(ROUND(L14/I24,3),"")</f>
        <v/>
      </c>
      <c r="K24" s="468" t="s">
        <v>260</v>
      </c>
      <c r="L24" s="755" t="s">
        <v>266</v>
      </c>
      <c r="M24" s="691"/>
      <c r="N24" s="691"/>
      <c r="O24" s="683">
        <f>KAT!G85</f>
        <v>0</v>
      </c>
      <c r="P24" s="1377"/>
      <c r="Q24" s="1378"/>
      <c r="R24" s="1378"/>
      <c r="S24" s="1379"/>
      <c r="U24" s="732"/>
    </row>
    <row r="25" spans="1:24" x14ac:dyDescent="0.2">
      <c r="A25" s="234"/>
      <c r="B25" s="186" t="s">
        <v>308</v>
      </c>
      <c r="C25" s="367" t="str">
        <f>IF(J25&lt;&gt;D25,"PDL VK entspricht nicht RV","")</f>
        <v/>
      </c>
      <c r="D25" s="386"/>
      <c r="E25" s="226"/>
      <c r="F25" s="227"/>
      <c r="G25" s="20"/>
      <c r="H25" s="278" t="s">
        <v>308</v>
      </c>
      <c r="I25" s="279"/>
      <c r="J25" s="280" t="str">
        <f>IF('B1_Allgemeine Angaben'!L47=0,"",KAT!D62)</f>
        <v/>
      </c>
      <c r="K25" s="281"/>
      <c r="L25" s="681"/>
      <c r="M25" s="275"/>
      <c r="N25" s="275"/>
      <c r="O25" s="684"/>
      <c r="P25" s="1377"/>
      <c r="Q25" s="1378"/>
      <c r="R25" s="1378"/>
      <c r="S25" s="1379"/>
      <c r="U25" s="732"/>
    </row>
    <row r="26" spans="1:24" ht="29.25" customHeight="1" thickBot="1" x14ac:dyDescent="0.25">
      <c r="A26" s="234"/>
      <c r="B26" s="222" t="s">
        <v>251</v>
      </c>
      <c r="C26" s="385"/>
      <c r="D26" s="210">
        <f>SUM(D20:D25)</f>
        <v>0</v>
      </c>
      <c r="E26" s="211" t="s">
        <v>259</v>
      </c>
      <c r="F26" s="388"/>
      <c r="G26" s="808"/>
      <c r="H26" s="222" t="s">
        <v>251</v>
      </c>
      <c r="I26" s="385"/>
      <c r="J26" s="360">
        <f>IF('B1_Allgemeine Angaben'!D7&lt;&gt;"vst",SUM(J20:J24),SUM(J20:J25))</f>
        <v>0</v>
      </c>
      <c r="K26" s="211" t="s">
        <v>259</v>
      </c>
      <c r="L26" s="758">
        <f>B1_Berechnung!J19</f>
        <v>0</v>
      </c>
      <c r="M26" s="692" t="s">
        <v>432</v>
      </c>
      <c r="N26" s="696"/>
      <c r="O26" s="685">
        <f>I26</f>
        <v>0</v>
      </c>
      <c r="P26" s="1380"/>
      <c r="Q26" s="1381"/>
      <c r="R26" s="1381"/>
      <c r="S26" s="1382"/>
      <c r="U26" s="732"/>
    </row>
    <row r="27" spans="1:24" ht="38.25" customHeight="1" thickTop="1" x14ac:dyDescent="0.2">
      <c r="A27" s="234"/>
      <c r="B27" s="221" t="s">
        <v>252</v>
      </c>
      <c r="C27" s="384"/>
      <c r="D27" s="209">
        <f>IFERROR(ROUND($F$12/C27,3),0)</f>
        <v>0</v>
      </c>
      <c r="E27" s="211" t="str">
        <f t="shared" ref="E27:E30" si="0">B27</f>
        <v>Betreuung:</v>
      </c>
      <c r="F27" s="388"/>
      <c r="G27" s="808"/>
      <c r="H27" s="221" t="s">
        <v>252</v>
      </c>
      <c r="I27" s="384"/>
      <c r="J27" s="361">
        <f>IFERROR(ROUND($L$12/I27,3),0)</f>
        <v>0</v>
      </c>
      <c r="K27" s="211" t="str">
        <f t="shared" ref="K27:K30" si="1">H27</f>
        <v>Betreuung:</v>
      </c>
      <c r="L27" s="758">
        <f>IF(I27&gt;0,B1_Berechnung!J25,0)</f>
        <v>0</v>
      </c>
      <c r="M27" s="692" t="s">
        <v>432</v>
      </c>
      <c r="N27" s="696"/>
      <c r="O27" s="686">
        <f>I27</f>
        <v>0</v>
      </c>
      <c r="P27" s="1422" t="s">
        <v>438</v>
      </c>
      <c r="Q27" s="1423"/>
      <c r="R27" s="1423"/>
      <c r="S27" s="1424"/>
      <c r="U27" s="732"/>
    </row>
    <row r="28" spans="1:24" x14ac:dyDescent="0.2">
      <c r="A28" s="234"/>
      <c r="B28" s="221" t="s">
        <v>253</v>
      </c>
      <c r="C28" s="384"/>
      <c r="D28" s="209">
        <f>IFERROR(ROUND($F$12/C28,3),0)</f>
        <v>0</v>
      </c>
      <c r="E28" s="211" t="str">
        <f t="shared" si="0"/>
        <v>Leitung/Verwaltung:</v>
      </c>
      <c r="F28" s="388"/>
      <c r="G28" s="808"/>
      <c r="H28" s="221" t="s">
        <v>253</v>
      </c>
      <c r="I28" s="353">
        <f t="shared" ref="I28:I31" si="2">C28</f>
        <v>0</v>
      </c>
      <c r="J28" s="361">
        <f t="shared" ref="J28:J31" si="3">IFERROR(ROUND($L$12/I28,3),0)</f>
        <v>0</v>
      </c>
      <c r="K28" s="211" t="str">
        <f t="shared" si="1"/>
        <v>Leitung/Verwaltung:</v>
      </c>
      <c r="L28" s="759">
        <f>IF(F28=0,0,IF(F28&lt;KAT!$E$121,KAT!$C$121*M28+KAT!$C$121,IF(F28&gt;KAT!$C$121,F28*M28+F28)))</f>
        <v>0</v>
      </c>
      <c r="M28" s="754"/>
      <c r="N28" s="697"/>
      <c r="O28" s="686">
        <f t="shared" ref="O28:O31" si="4">I28</f>
        <v>0</v>
      </c>
      <c r="P28" s="1383"/>
      <c r="Q28" s="1384"/>
      <c r="R28" s="1384"/>
      <c r="S28" s="1385"/>
      <c r="U28" s="731"/>
    </row>
    <row r="29" spans="1:24" x14ac:dyDescent="0.2">
      <c r="A29" s="234"/>
      <c r="B29" s="221" t="s">
        <v>254</v>
      </c>
      <c r="C29" s="384"/>
      <c r="D29" s="209">
        <f>IFERROR(ROUND($F$12/C29,3),0)</f>
        <v>0</v>
      </c>
      <c r="E29" s="211" t="str">
        <f t="shared" si="0"/>
        <v>Hauswirtschaft:</v>
      </c>
      <c r="F29" s="388"/>
      <c r="G29" s="808"/>
      <c r="H29" s="221" t="s">
        <v>254</v>
      </c>
      <c r="I29" s="353">
        <f t="shared" si="2"/>
        <v>0</v>
      </c>
      <c r="J29" s="361">
        <f t="shared" si="3"/>
        <v>0</v>
      </c>
      <c r="K29" s="211" t="str">
        <f t="shared" si="1"/>
        <v>Hauswirtschaft:</v>
      </c>
      <c r="L29" s="759">
        <f>IF(F29=0,0,IF(F29&lt;KAT!$E$133,KAT!$C$133*M29+KAT!$C$133,IF(F29&gt;KAT!$C$133,F29*M29+F29)))</f>
        <v>0</v>
      </c>
      <c r="M29" s="754"/>
      <c r="N29" s="698"/>
      <c r="O29" s="686">
        <f t="shared" si="4"/>
        <v>0</v>
      </c>
      <c r="P29" s="1386"/>
      <c r="Q29" s="1387"/>
      <c r="R29" s="1387"/>
      <c r="S29" s="1388"/>
    </row>
    <row r="30" spans="1:24" x14ac:dyDescent="0.2">
      <c r="A30" s="234"/>
      <c r="B30" s="221" t="s">
        <v>255</v>
      </c>
      <c r="C30" s="384"/>
      <c r="D30" s="209">
        <f>IFERROR(ROUND($F$12/C30,3),0)</f>
        <v>0</v>
      </c>
      <c r="E30" s="211" t="str">
        <f t="shared" si="0"/>
        <v>Küche:</v>
      </c>
      <c r="F30" s="388"/>
      <c r="G30" s="808"/>
      <c r="H30" s="221" t="s">
        <v>255</v>
      </c>
      <c r="I30" s="353">
        <f t="shared" si="2"/>
        <v>0</v>
      </c>
      <c r="J30" s="361">
        <f t="shared" si="3"/>
        <v>0</v>
      </c>
      <c r="K30" s="211" t="str">
        <f t="shared" si="1"/>
        <v>Küche:</v>
      </c>
      <c r="L30" s="759">
        <f>IF(F30=0,0,IF(F30&lt;KAT!$E$145,KAT!$C$145*M30+KAT!$C$145,IF(F30&gt;KAT!$C$145,F30*M30+F30)))</f>
        <v>0</v>
      </c>
      <c r="M30" s="754"/>
      <c r="N30" s="697"/>
      <c r="O30" s="686">
        <f t="shared" si="4"/>
        <v>0</v>
      </c>
      <c r="P30" s="1386"/>
      <c r="Q30" s="1387"/>
      <c r="R30" s="1387"/>
      <c r="S30" s="1388"/>
      <c r="U30" s="731"/>
    </row>
    <row r="31" spans="1:24" x14ac:dyDescent="0.2">
      <c r="A31" s="234"/>
      <c r="B31" s="221" t="s">
        <v>256</v>
      </c>
      <c r="C31" s="384"/>
      <c r="D31" s="209">
        <f>IFERROR(ROUND($F$12/C31,3),0)</f>
        <v>0</v>
      </c>
      <c r="E31" s="212" t="str">
        <f>B31</f>
        <v>Haustechnik:</v>
      </c>
      <c r="F31" s="388"/>
      <c r="G31" s="808"/>
      <c r="H31" s="221" t="s">
        <v>256</v>
      </c>
      <c r="I31" s="353">
        <f t="shared" si="2"/>
        <v>0</v>
      </c>
      <c r="J31" s="361">
        <f t="shared" si="3"/>
        <v>0</v>
      </c>
      <c r="K31" s="212" t="str">
        <f>H31</f>
        <v>Haustechnik:</v>
      </c>
      <c r="L31" s="759">
        <f>IF(F31=0,0,IF(F31&lt;KAT!$E$157,KAT!$C$157*M31+KAT!$C$157,IF(F31&gt;KAT!$C$157,F31*M31+F31)))</f>
        <v>0</v>
      </c>
      <c r="M31" s="754"/>
      <c r="N31" s="697"/>
      <c r="O31" s="686">
        <f t="shared" si="4"/>
        <v>0</v>
      </c>
      <c r="P31" s="1386"/>
      <c r="Q31" s="1387"/>
      <c r="R31" s="1387"/>
      <c r="S31" s="1388"/>
    </row>
    <row r="32" spans="1:24" ht="29.25" customHeight="1" x14ac:dyDescent="0.25">
      <c r="A32" s="234"/>
      <c r="B32" s="1414" t="s">
        <v>265</v>
      </c>
      <c r="C32" s="1415"/>
      <c r="D32" s="387"/>
      <c r="E32" s="212" t="str">
        <f>B32</f>
        <v>Freiwillige Dienste/ FSJ Einsatz:</v>
      </c>
      <c r="F32" s="389"/>
      <c r="G32" s="808"/>
      <c r="H32" s="1414" t="s">
        <v>264</v>
      </c>
      <c r="I32" s="1415"/>
      <c r="J32" s="387"/>
      <c r="K32" s="212" t="str">
        <f>H32</f>
        <v>Freiwillige Dienste/FSJ Einsatz:</v>
      </c>
      <c r="L32" s="760">
        <f>IF(F32=0,0,F32*M32+F32)</f>
        <v>0</v>
      </c>
      <c r="M32" s="754"/>
      <c r="N32" s="697"/>
      <c r="O32" s="687"/>
      <c r="P32" s="1386"/>
      <c r="Q32" s="1387"/>
      <c r="R32" s="1387"/>
      <c r="S32" s="1388"/>
      <c r="U32" s="750" t="s">
        <v>467</v>
      </c>
      <c r="V32" s="742"/>
      <c r="W32" s="742"/>
      <c r="X32" s="742"/>
    </row>
    <row r="33" spans="1:31" ht="42.75" customHeight="1" x14ac:dyDescent="0.2">
      <c r="A33" s="234"/>
      <c r="B33" s="222" t="s">
        <v>258</v>
      </c>
      <c r="C33" s="213">
        <v>20</v>
      </c>
      <c r="D33" s="209">
        <f>$F$12/C33</f>
        <v>0</v>
      </c>
      <c r="E33" s="212" t="s">
        <v>258</v>
      </c>
      <c r="F33" s="388"/>
      <c r="G33" s="808"/>
      <c r="H33" s="222" t="s">
        <v>258</v>
      </c>
      <c r="I33" s="213">
        <v>20</v>
      </c>
      <c r="J33" s="214">
        <f>IFERROR(ROUND($L$12/I33,3),"")</f>
        <v>0</v>
      </c>
      <c r="K33" s="212" t="s">
        <v>258</v>
      </c>
      <c r="L33" s="758">
        <f>B1_Berechnung!J31</f>
        <v>0</v>
      </c>
      <c r="M33" s="692" t="s">
        <v>432</v>
      </c>
      <c r="N33" s="696"/>
      <c r="O33" s="686">
        <f>I33</f>
        <v>20</v>
      </c>
      <c r="P33" s="1389"/>
      <c r="Q33" s="1390"/>
      <c r="R33" s="1390"/>
      <c r="S33" s="1391"/>
      <c r="U33" s="1401" t="s">
        <v>483</v>
      </c>
      <c r="V33" s="1401"/>
      <c r="W33" s="1401"/>
      <c r="X33" s="1401"/>
      <c r="Y33" s="1401"/>
      <c r="Z33" s="1401"/>
      <c r="AA33" s="1401"/>
      <c r="AB33" s="1401"/>
      <c r="AC33" s="1401"/>
      <c r="AD33" s="1401"/>
    </row>
    <row r="34" spans="1:31" ht="3" customHeight="1" x14ac:dyDescent="0.2">
      <c r="A34" s="234"/>
      <c r="B34" s="176"/>
      <c r="H34" s="20"/>
      <c r="M34" s="693"/>
      <c r="N34" s="693"/>
      <c r="O34" s="241"/>
      <c r="S34" s="19"/>
      <c r="U34" s="1401"/>
      <c r="V34" s="1401"/>
      <c r="W34" s="1401"/>
      <c r="X34" s="1401"/>
      <c r="Y34" s="1401"/>
      <c r="Z34" s="1401"/>
      <c r="AA34" s="1401"/>
      <c r="AB34" s="1401"/>
      <c r="AC34" s="1401"/>
      <c r="AD34" s="1401"/>
    </row>
    <row r="35" spans="1:31" ht="15" customHeight="1" x14ac:dyDescent="0.25">
      <c r="A35" s="665"/>
      <c r="B35" s="242" t="s">
        <v>94</v>
      </c>
      <c r="C35" s="243"/>
      <c r="D35" s="243"/>
      <c r="E35" s="243"/>
      <c r="F35" s="247"/>
      <c r="H35" s="265" t="s">
        <v>94</v>
      </c>
      <c r="I35" s="266"/>
      <c r="J35" s="266"/>
      <c r="K35" s="266"/>
      <c r="L35" s="682"/>
      <c r="M35" s="754"/>
      <c r="N35" s="697"/>
      <c r="O35" s="356"/>
      <c r="P35" s="1392" t="s">
        <v>439</v>
      </c>
      <c r="Q35" s="1398"/>
      <c r="R35" s="1398"/>
      <c r="S35" s="1399"/>
      <c r="U35" s="1401"/>
      <c r="V35" s="1401"/>
      <c r="W35" s="1401"/>
      <c r="X35" s="1401"/>
      <c r="Y35" s="1401"/>
      <c r="Z35" s="1401"/>
      <c r="AA35" s="1401"/>
      <c r="AB35" s="1401"/>
      <c r="AC35" s="1401"/>
      <c r="AD35" s="1401"/>
    </row>
    <row r="36" spans="1:31" ht="14.25" customHeight="1" x14ac:dyDescent="0.2">
      <c r="A36" s="666"/>
      <c r="B36" s="244" t="s">
        <v>270</v>
      </c>
      <c r="C36" s="176" t="s">
        <v>38</v>
      </c>
      <c r="D36" s="168"/>
      <c r="E36" s="178"/>
      <c r="F36" s="390"/>
      <c r="G36" s="20"/>
      <c r="H36" s="354" t="s">
        <v>270</v>
      </c>
      <c r="I36" s="183" t="s">
        <v>38</v>
      </c>
      <c r="K36" s="19"/>
      <c r="L36" s="1175">
        <f>IF($M$35&lt;&gt;0,F36*(100%+$M$35),F36)</f>
        <v>0</v>
      </c>
      <c r="M36" s="828" t="str">
        <f>(IFERROR(L36/B1_Gesamtkalkulation!$N$6,""))</f>
        <v/>
      </c>
      <c r="N36" s="359"/>
      <c r="O36" s="359"/>
      <c r="P36" s="1383"/>
      <c r="Q36" s="1384"/>
      <c r="R36" s="1384"/>
      <c r="S36" s="1385"/>
      <c r="U36" s="736"/>
      <c r="V36" s="735"/>
      <c r="W36" s="735"/>
      <c r="X36" s="735"/>
    </row>
    <row r="37" spans="1:31" ht="15" x14ac:dyDescent="0.25">
      <c r="A37" s="667"/>
      <c r="B37" s="245" t="s">
        <v>271</v>
      </c>
      <c r="C37" s="176" t="s">
        <v>267</v>
      </c>
      <c r="D37" s="168"/>
      <c r="E37" s="178"/>
      <c r="F37" s="390"/>
      <c r="G37" s="20"/>
      <c r="H37" s="248" t="s">
        <v>271</v>
      </c>
      <c r="I37" s="176" t="s">
        <v>267</v>
      </c>
      <c r="J37" s="168"/>
      <c r="K37" s="178"/>
      <c r="L37" s="1175">
        <f t="shared" ref="L37:L45" si="5">IF($M$35&lt;&gt;0,F37*(100%+$M$35),F37)</f>
        <v>0</v>
      </c>
      <c r="M37" s="828" t="str">
        <f>(IFERROR(L37/B1_Gesamtkalkulation!$N$6,""))</f>
        <v/>
      </c>
      <c r="N37" s="359"/>
      <c r="O37" s="359"/>
      <c r="P37" s="1386"/>
      <c r="Q37" s="1387"/>
      <c r="R37" s="1387"/>
      <c r="S37" s="1388"/>
      <c r="U37" s="743" t="s">
        <v>478</v>
      </c>
    </row>
    <row r="38" spans="1:31" ht="14.25" customHeight="1" x14ac:dyDescent="0.2">
      <c r="A38" s="667"/>
      <c r="B38" s="245" t="s">
        <v>272</v>
      </c>
      <c r="C38" s="176" t="s">
        <v>268</v>
      </c>
      <c r="D38" s="168"/>
      <c r="E38" s="178"/>
      <c r="F38" s="390"/>
      <c r="G38" s="20"/>
      <c r="H38" s="249" t="s">
        <v>272</v>
      </c>
      <c r="I38" s="176" t="s">
        <v>268</v>
      </c>
      <c r="J38" s="168"/>
      <c r="K38" s="178"/>
      <c r="L38" s="1175">
        <f t="shared" si="5"/>
        <v>0</v>
      </c>
      <c r="M38" s="828" t="str">
        <f>(IFERROR(L38/B1_Gesamtkalkulation!$N$6,""))</f>
        <v/>
      </c>
      <c r="N38" s="359"/>
      <c r="O38" s="359"/>
      <c r="P38" s="1386"/>
      <c r="Q38" s="1387"/>
      <c r="R38" s="1387"/>
      <c r="S38" s="1388"/>
      <c r="U38" s="1400"/>
      <c r="V38" s="1400"/>
      <c r="W38" s="1400"/>
      <c r="X38" s="1400"/>
      <c r="Y38" s="1400"/>
      <c r="Z38" s="1400"/>
      <c r="AA38" s="1400"/>
      <c r="AB38" s="1400"/>
      <c r="AC38" s="1400"/>
      <c r="AD38" s="1400"/>
      <c r="AE38" s="1400"/>
    </row>
    <row r="39" spans="1:31" x14ac:dyDescent="0.2">
      <c r="A39" s="667"/>
      <c r="B39" s="246" t="s">
        <v>273</v>
      </c>
      <c r="C39" s="20" t="s">
        <v>43</v>
      </c>
      <c r="E39" s="19"/>
      <c r="F39" s="390"/>
      <c r="G39" s="20"/>
      <c r="H39" s="249" t="s">
        <v>273</v>
      </c>
      <c r="I39" s="176" t="s">
        <v>43</v>
      </c>
      <c r="J39" s="168"/>
      <c r="K39" s="178"/>
      <c r="L39" s="1175">
        <f t="shared" si="5"/>
        <v>0</v>
      </c>
      <c r="M39" s="828" t="str">
        <f>(IFERROR(L39/B1_Gesamtkalkulation!$N$6,""))</f>
        <v/>
      </c>
      <c r="N39" s="359"/>
      <c r="O39" s="359"/>
      <c r="P39" s="1386"/>
      <c r="Q39" s="1387"/>
      <c r="R39" s="1387"/>
      <c r="S39" s="1388"/>
      <c r="U39" s="1400"/>
      <c r="V39" s="1400"/>
      <c r="W39" s="1400"/>
      <c r="X39" s="1400"/>
      <c r="Y39" s="1400"/>
      <c r="Z39" s="1400"/>
      <c r="AA39" s="1400"/>
      <c r="AB39" s="1400"/>
      <c r="AC39" s="1400"/>
      <c r="AD39" s="1400"/>
      <c r="AE39" s="1400"/>
    </row>
    <row r="40" spans="1:31" x14ac:dyDescent="0.2">
      <c r="A40" s="667"/>
      <c r="B40" s="245" t="s">
        <v>274</v>
      </c>
      <c r="C40" s="176" t="s">
        <v>45</v>
      </c>
      <c r="D40" s="168"/>
      <c r="E40" s="178"/>
      <c r="F40" s="390"/>
      <c r="G40" s="20"/>
      <c r="H40" s="250" t="s">
        <v>274</v>
      </c>
      <c r="I40" s="20" t="s">
        <v>45</v>
      </c>
      <c r="K40" s="19"/>
      <c r="L40" s="1175">
        <f t="shared" si="5"/>
        <v>0</v>
      </c>
      <c r="M40" s="828" t="str">
        <f>(IFERROR(L40/B1_Gesamtkalkulation!$N$6,""))</f>
        <v/>
      </c>
      <c r="N40" s="359"/>
      <c r="O40" s="359"/>
      <c r="P40" s="1386"/>
      <c r="Q40" s="1387"/>
      <c r="R40" s="1387"/>
      <c r="S40" s="1388"/>
      <c r="U40" s="730" t="s">
        <v>479</v>
      </c>
    </row>
    <row r="41" spans="1:31" x14ac:dyDescent="0.2">
      <c r="A41" s="667"/>
      <c r="B41" s="246" t="s">
        <v>275</v>
      </c>
      <c r="C41" s="20" t="s">
        <v>47</v>
      </c>
      <c r="E41" s="19"/>
      <c r="F41" s="390"/>
      <c r="G41" s="20"/>
      <c r="H41" s="249" t="s">
        <v>275</v>
      </c>
      <c r="I41" s="176" t="s">
        <v>47</v>
      </c>
      <c r="J41" s="168"/>
      <c r="K41" s="178"/>
      <c r="L41" s="1175">
        <f t="shared" si="5"/>
        <v>0</v>
      </c>
      <c r="M41" s="828" t="str">
        <f>(IFERROR(L41/B1_Gesamtkalkulation!$N$6,""))</f>
        <v/>
      </c>
      <c r="N41" s="359"/>
      <c r="O41" s="359"/>
      <c r="P41" s="1386"/>
      <c r="Q41" s="1387"/>
      <c r="R41" s="1387"/>
      <c r="S41" s="1388"/>
      <c r="U41" s="730" t="s">
        <v>469</v>
      </c>
    </row>
    <row r="42" spans="1:31" x14ac:dyDescent="0.2">
      <c r="A42" s="667"/>
      <c r="B42" s="245" t="s">
        <v>276</v>
      </c>
      <c r="C42" s="176" t="s">
        <v>49</v>
      </c>
      <c r="D42" s="168"/>
      <c r="E42" s="178"/>
      <c r="F42" s="390"/>
      <c r="G42" s="20"/>
      <c r="H42" s="250" t="s">
        <v>276</v>
      </c>
      <c r="I42" s="20" t="s">
        <v>49</v>
      </c>
      <c r="K42" s="19"/>
      <c r="L42" s="1175">
        <f t="shared" si="5"/>
        <v>0</v>
      </c>
      <c r="M42" s="828" t="str">
        <f>(IFERROR(L42/B1_Gesamtkalkulation!$N$6,""))</f>
        <v/>
      </c>
      <c r="N42" s="359"/>
      <c r="O42" s="359"/>
      <c r="P42" s="1386"/>
      <c r="Q42" s="1387"/>
      <c r="R42" s="1387"/>
      <c r="S42" s="1388"/>
      <c r="U42" s="730" t="s">
        <v>468</v>
      </c>
    </row>
    <row r="43" spans="1:31" x14ac:dyDescent="0.2">
      <c r="A43" s="667"/>
      <c r="B43" s="246" t="s">
        <v>277</v>
      </c>
      <c r="C43" s="20" t="s">
        <v>51</v>
      </c>
      <c r="E43" s="19"/>
      <c r="F43" s="390"/>
      <c r="G43" s="20"/>
      <c r="H43" s="249" t="s">
        <v>277</v>
      </c>
      <c r="I43" s="176" t="s">
        <v>51</v>
      </c>
      <c r="J43" s="168"/>
      <c r="K43" s="178"/>
      <c r="L43" s="1175">
        <f t="shared" si="5"/>
        <v>0</v>
      </c>
      <c r="M43" s="828" t="str">
        <f>(IFERROR(L43/B1_Gesamtkalkulation!$N$6,""))</f>
        <v/>
      </c>
      <c r="N43" s="359"/>
      <c r="O43" s="359"/>
      <c r="P43" s="1386"/>
      <c r="Q43" s="1387"/>
      <c r="R43" s="1387"/>
      <c r="S43" s="1388"/>
    </row>
    <row r="44" spans="1:31" ht="15" x14ac:dyDescent="0.25">
      <c r="A44" s="667"/>
      <c r="B44" s="245" t="s">
        <v>278</v>
      </c>
      <c r="C44" s="176" t="s">
        <v>53</v>
      </c>
      <c r="D44" s="168"/>
      <c r="E44" s="178"/>
      <c r="F44" s="390"/>
      <c r="G44" s="20"/>
      <c r="H44" s="250" t="s">
        <v>278</v>
      </c>
      <c r="I44" s="20" t="s">
        <v>53</v>
      </c>
      <c r="K44" s="19"/>
      <c r="L44" s="1175">
        <f t="shared" si="5"/>
        <v>0</v>
      </c>
      <c r="M44" s="828" t="str">
        <f>(IFERROR(L44/B1_Gesamtkalkulation!$N$6,""))</f>
        <v/>
      </c>
      <c r="N44" s="359"/>
      <c r="O44" s="359"/>
      <c r="P44" s="1386"/>
      <c r="Q44" s="1387"/>
      <c r="R44" s="1387"/>
      <c r="S44" s="1388"/>
      <c r="U44" s="744" t="s">
        <v>471</v>
      </c>
    </row>
    <row r="45" spans="1:31" x14ac:dyDescent="0.2">
      <c r="A45" s="667"/>
      <c r="B45" s="246" t="s">
        <v>279</v>
      </c>
      <c r="C45" s="183" t="s">
        <v>55</v>
      </c>
      <c r="E45" s="19"/>
      <c r="F45" s="390"/>
      <c r="G45" s="20"/>
      <c r="H45" s="249" t="s">
        <v>279</v>
      </c>
      <c r="I45" s="176" t="s">
        <v>55</v>
      </c>
      <c r="J45" s="168"/>
      <c r="K45" s="178"/>
      <c r="L45" s="1175">
        <f t="shared" si="5"/>
        <v>0</v>
      </c>
      <c r="M45" s="828" t="str">
        <f>(IFERROR(L45/B1_Gesamtkalkulation!$N$6,""))</f>
        <v/>
      </c>
      <c r="N45" s="359"/>
      <c r="O45" s="359"/>
      <c r="P45" s="1386"/>
      <c r="Q45" s="1387"/>
      <c r="R45" s="1387"/>
      <c r="S45" s="1388"/>
      <c r="U45" s="749" t="s">
        <v>472</v>
      </c>
      <c r="V45" s="749"/>
      <c r="W45" s="749"/>
      <c r="X45" s="749" t="s">
        <v>473</v>
      </c>
    </row>
    <row r="46" spans="1:31" x14ac:dyDescent="0.2">
      <c r="A46" s="667"/>
      <c r="B46" s="176"/>
      <c r="C46" s="168" t="s">
        <v>269</v>
      </c>
      <c r="D46" s="168"/>
      <c r="E46" s="178"/>
      <c r="F46" s="216">
        <f>SUM(F36:F45)</f>
        <v>0</v>
      </c>
      <c r="G46" s="20"/>
      <c r="H46" s="183"/>
      <c r="I46" s="90" t="s">
        <v>269</v>
      </c>
      <c r="J46" s="90"/>
      <c r="K46" s="90"/>
      <c r="L46" s="1176">
        <f>SUM(L36:L45)</f>
        <v>0</v>
      </c>
      <c r="M46" s="831">
        <f>SUM(M36:M45)</f>
        <v>0</v>
      </c>
      <c r="N46" s="359"/>
      <c r="O46" s="359"/>
      <c r="P46" s="1386"/>
      <c r="Q46" s="1387"/>
      <c r="R46" s="1387"/>
      <c r="S46" s="1388"/>
      <c r="V46" s="746">
        <v>0</v>
      </c>
      <c r="W46" s="746" t="s">
        <v>480</v>
      </c>
      <c r="X46" s="748">
        <v>0</v>
      </c>
    </row>
    <row r="47" spans="1:31" ht="3" customHeight="1" x14ac:dyDescent="0.2">
      <c r="A47" s="234"/>
      <c r="H47" s="20"/>
      <c r="L47" s="1177"/>
      <c r="M47" s="669"/>
      <c r="P47" s="1389"/>
      <c r="Q47" s="1390"/>
      <c r="R47" s="1390"/>
      <c r="S47" s="1391"/>
      <c r="V47" s="730" t="s">
        <v>474</v>
      </c>
    </row>
    <row r="48" spans="1:31" ht="15" x14ac:dyDescent="0.25">
      <c r="A48" s="234"/>
      <c r="B48" s="265" t="s">
        <v>280</v>
      </c>
      <c r="C48" s="266"/>
      <c r="D48" s="266"/>
      <c r="E48" s="266"/>
      <c r="F48" s="247"/>
      <c r="H48" s="265" t="s">
        <v>280</v>
      </c>
      <c r="I48" s="266"/>
      <c r="J48" s="266"/>
      <c r="K48" s="266"/>
      <c r="L48" s="1178"/>
      <c r="M48" s="807"/>
      <c r="N48" s="689"/>
      <c r="O48" s="252"/>
      <c r="P48" s="1392" t="s">
        <v>440</v>
      </c>
      <c r="Q48" s="1398"/>
      <c r="R48" s="1398"/>
      <c r="S48" s="1399"/>
      <c r="V48" s="730" t="s">
        <v>481</v>
      </c>
      <c r="X48" s="730" t="s">
        <v>475</v>
      </c>
    </row>
    <row r="49" spans="1:35" x14ac:dyDescent="0.2">
      <c r="A49" s="668"/>
      <c r="B49" s="267" t="s">
        <v>282</v>
      </c>
      <c r="C49" t="s">
        <v>32</v>
      </c>
      <c r="E49" s="19"/>
      <c r="F49" s="391"/>
      <c r="G49" s="20"/>
      <c r="H49" s="267" t="s">
        <v>282</v>
      </c>
      <c r="I49" t="s">
        <v>32</v>
      </c>
      <c r="K49" s="246"/>
      <c r="L49" s="1179">
        <f>IF($M$48&lt;&gt;0,F49*(100%+$M$48),F49)</f>
        <v>0</v>
      </c>
      <c r="M49" s="828" t="str">
        <f>(IFERROR(L49/B1_Gesamtkalkulation!$N$6,""))</f>
        <v/>
      </c>
      <c r="N49" s="359"/>
      <c r="O49" s="359"/>
      <c r="P49" s="1383"/>
      <c r="Q49" s="1384"/>
      <c r="R49" s="1384"/>
      <c r="S49" s="1385"/>
      <c r="V49" s="730" t="s">
        <v>482</v>
      </c>
      <c r="X49" s="730" t="s">
        <v>476</v>
      </c>
    </row>
    <row r="50" spans="1:35" x14ac:dyDescent="0.2">
      <c r="A50" s="668"/>
      <c r="B50" s="268" t="s">
        <v>283</v>
      </c>
      <c r="C50" s="168" t="s">
        <v>34</v>
      </c>
      <c r="D50" s="168"/>
      <c r="E50" s="178"/>
      <c r="F50" s="208"/>
      <c r="G50" s="20"/>
      <c r="H50" s="268" t="s">
        <v>283</v>
      </c>
      <c r="I50" s="168" t="s">
        <v>34</v>
      </c>
      <c r="J50" s="168"/>
      <c r="K50" s="245"/>
      <c r="L50" s="1179">
        <f t="shared" ref="L50:L55" si="6">IF($M$48&lt;&gt;0,F50*(100%+$M$48),F50)</f>
        <v>0</v>
      </c>
      <c r="M50" s="828" t="str">
        <f>(IFERROR(L50/B1_Gesamtkalkulation!$N$6,""))</f>
        <v/>
      </c>
      <c r="N50" s="359"/>
      <c r="O50" s="359"/>
      <c r="P50" s="1386"/>
      <c r="Q50" s="1387"/>
      <c r="R50" s="1387"/>
      <c r="S50" s="1388"/>
      <c r="U50" s="747"/>
    </row>
    <row r="51" spans="1:35" x14ac:dyDescent="0.2">
      <c r="A51" s="668"/>
      <c r="B51" s="268" t="s">
        <v>284</v>
      </c>
      <c r="C51" s="168" t="s">
        <v>318</v>
      </c>
      <c r="D51" s="168"/>
      <c r="E51" s="178"/>
      <c r="F51" s="208"/>
      <c r="G51" s="20"/>
      <c r="H51" s="269" t="s">
        <v>284</v>
      </c>
      <c r="I51" s="176" t="s">
        <v>318</v>
      </c>
      <c r="K51" s="246"/>
      <c r="L51" s="1179">
        <f>IF('B1_Allgemeine Angaben'!D7&lt;&gt;"vst",0,IF($M$48&lt;&gt;0,F51*(100%+$M$48),F51))</f>
        <v>0</v>
      </c>
      <c r="M51" s="828" t="str">
        <f>(IFERROR(L51/B1_Gesamtkalkulation!$N$6,""))</f>
        <v/>
      </c>
      <c r="N51" s="359"/>
      <c r="O51" s="359"/>
      <c r="P51" s="1386"/>
      <c r="Q51" s="1387"/>
      <c r="R51" s="1387"/>
      <c r="S51" s="1388"/>
      <c r="U51" s="730" t="s">
        <v>470</v>
      </c>
    </row>
    <row r="52" spans="1:35" x14ac:dyDescent="0.2">
      <c r="A52" s="668"/>
      <c r="B52" s="268" t="s">
        <v>285</v>
      </c>
      <c r="C52" t="s">
        <v>35</v>
      </c>
      <c r="D52" s="168"/>
      <c r="E52" s="178"/>
      <c r="F52" s="208"/>
      <c r="G52" s="20"/>
      <c r="H52" s="268" t="s">
        <v>285</v>
      </c>
      <c r="I52" t="s">
        <v>35</v>
      </c>
      <c r="J52" s="168"/>
      <c r="K52" s="245"/>
      <c r="L52" s="1179">
        <f t="shared" si="6"/>
        <v>0</v>
      </c>
      <c r="M52" s="828" t="str">
        <f>(IFERROR(L52/B1_Gesamtkalkulation!$N$6,""))</f>
        <v/>
      </c>
      <c r="N52" s="359"/>
      <c r="O52" s="359"/>
      <c r="P52" s="1386"/>
      <c r="Q52" s="1387"/>
      <c r="R52" s="1387"/>
      <c r="S52" s="1388"/>
    </row>
    <row r="53" spans="1:35" x14ac:dyDescent="0.2">
      <c r="A53" s="668"/>
      <c r="B53" s="267" t="s">
        <v>286</v>
      </c>
      <c r="C53" s="168" t="s">
        <v>36</v>
      </c>
      <c r="E53" s="19"/>
      <c r="F53" s="208"/>
      <c r="G53" s="20"/>
      <c r="H53" s="267" t="s">
        <v>286</v>
      </c>
      <c r="I53" s="168" t="s">
        <v>36</v>
      </c>
      <c r="K53" s="246"/>
      <c r="L53" s="1179">
        <f t="shared" si="6"/>
        <v>0</v>
      </c>
      <c r="M53" s="828" t="str">
        <f>(IFERROR(L53/B1_Gesamtkalkulation!$N$6,""))</f>
        <v/>
      </c>
      <c r="N53" s="359"/>
      <c r="O53" s="359"/>
      <c r="P53" s="1386"/>
      <c r="Q53" s="1387"/>
      <c r="R53" s="1387"/>
      <c r="S53" s="1388"/>
      <c r="U53" s="747" t="s">
        <v>477</v>
      </c>
    </row>
    <row r="54" spans="1:35" x14ac:dyDescent="0.2">
      <c r="A54" s="668"/>
      <c r="B54" s="268" t="s">
        <v>287</v>
      </c>
      <c r="C54" t="s">
        <v>33</v>
      </c>
      <c r="D54" s="168"/>
      <c r="E54" s="178"/>
      <c r="F54" s="208"/>
      <c r="G54" s="20"/>
      <c r="H54" s="268" t="s">
        <v>287</v>
      </c>
      <c r="I54" t="s">
        <v>33</v>
      </c>
      <c r="J54" s="168"/>
      <c r="K54" s="245"/>
      <c r="L54" s="1179">
        <f t="shared" si="6"/>
        <v>0</v>
      </c>
      <c r="M54" s="828" t="str">
        <f>(IFERROR(L54/B1_Gesamtkalkulation!$N$6,""))</f>
        <v/>
      </c>
      <c r="N54" s="359"/>
      <c r="O54" s="359"/>
      <c r="P54" s="1386"/>
      <c r="Q54" s="1387"/>
      <c r="R54" s="1387"/>
      <c r="S54" s="1388"/>
    </row>
    <row r="55" spans="1:35" x14ac:dyDescent="0.2">
      <c r="A55" s="668"/>
      <c r="B55" s="267" t="s">
        <v>288</v>
      </c>
      <c r="C55" s="168" t="s">
        <v>281</v>
      </c>
      <c r="E55" s="19"/>
      <c r="F55" s="208"/>
      <c r="G55" s="20"/>
      <c r="H55" s="267" t="s">
        <v>288</v>
      </c>
      <c r="I55" s="168" t="s">
        <v>281</v>
      </c>
      <c r="K55" s="246"/>
      <c r="L55" s="1179">
        <f t="shared" si="6"/>
        <v>0</v>
      </c>
      <c r="M55" s="828" t="str">
        <f>(IFERROR(L55/B1_Gesamtkalkulation!$N$6,""))</f>
        <v/>
      </c>
      <c r="N55" s="359"/>
      <c r="O55" s="359"/>
      <c r="P55" s="1386"/>
      <c r="Q55" s="1387"/>
      <c r="R55" s="1387"/>
      <c r="S55" s="1388"/>
    </row>
    <row r="56" spans="1:35" x14ac:dyDescent="0.2">
      <c r="A56" s="667"/>
      <c r="B56" s="174"/>
      <c r="C56" s="168" t="s">
        <v>269</v>
      </c>
      <c r="D56" s="168"/>
      <c r="E56" s="178"/>
      <c r="F56" s="215">
        <f>SUM(F49:F55)</f>
        <v>0</v>
      </c>
      <c r="G56" s="669"/>
      <c r="H56" s="176"/>
      <c r="I56" s="176" t="s">
        <v>269</v>
      </c>
      <c r="J56" s="168"/>
      <c r="K56" s="168"/>
      <c r="L56" s="1176">
        <f>SUM(L49:L55)</f>
        <v>0</v>
      </c>
      <c r="M56" s="831">
        <f>SUM(M49:M55)</f>
        <v>0</v>
      </c>
      <c r="N56" s="359"/>
      <c r="O56" s="359"/>
      <c r="P56" s="1389"/>
      <c r="Q56" s="1390"/>
      <c r="R56" s="1390"/>
      <c r="S56" s="1391"/>
    </row>
    <row r="57" spans="1:35" ht="9" customHeight="1" thickBot="1" x14ac:dyDescent="0.25">
      <c r="A57" s="669"/>
      <c r="F57" s="21"/>
      <c r="S57" s="19"/>
    </row>
    <row r="58" spans="1:35" s="251" customFormat="1" ht="15" x14ac:dyDescent="0.25">
      <c r="A58" s="670"/>
      <c r="B58" s="262" t="s">
        <v>289</v>
      </c>
      <c r="C58" s="263"/>
      <c r="D58" s="263"/>
      <c r="E58" s="263"/>
      <c r="F58" s="264"/>
      <c r="G58"/>
      <c r="H58" s="256"/>
      <c r="I58" s="1411" t="s">
        <v>292</v>
      </c>
      <c r="J58" s="1412"/>
      <c r="K58" s="1413"/>
      <c r="L58" s="270"/>
      <c r="P58" s="1392" t="s">
        <v>441</v>
      </c>
      <c r="Q58" s="1393"/>
      <c r="R58" s="1393"/>
      <c r="S58" s="1394"/>
      <c r="U58" s="744"/>
      <c r="V58" s="730"/>
      <c r="W58" s="730"/>
      <c r="X58" s="730"/>
      <c r="Y58" s="730"/>
      <c r="Z58" s="730"/>
      <c r="AA58" s="730"/>
      <c r="AB58" s="730"/>
      <c r="AC58" s="730"/>
      <c r="AD58" s="730"/>
      <c r="AE58" s="730"/>
      <c r="AF58" s="734"/>
      <c r="AG58" s="734"/>
    </row>
    <row r="59" spans="1:35" s="251" customFormat="1" ht="25.5" x14ac:dyDescent="0.2">
      <c r="A59" s="670"/>
      <c r="B59" s="257" t="s">
        <v>57</v>
      </c>
      <c r="C59" s="259" t="s">
        <v>58</v>
      </c>
      <c r="D59" s="259" t="s">
        <v>59</v>
      </c>
      <c r="E59" s="259" t="s">
        <v>60</v>
      </c>
      <c r="F59" s="260" t="s">
        <v>61</v>
      </c>
      <c r="G59" s="220"/>
      <c r="H59" s="257" t="s">
        <v>294</v>
      </c>
      <c r="I59" s="259" t="s">
        <v>290</v>
      </c>
      <c r="J59" s="259" t="s">
        <v>101</v>
      </c>
      <c r="K59" s="260" t="s">
        <v>291</v>
      </c>
      <c r="L59" s="1180" t="str">
        <f>IF(KAT!M103=1,"Fahrtkosten - Beförderung intern","Fahrtkosten - Beförderung extern")</f>
        <v>Fahrtkosten - Beförderung extern</v>
      </c>
      <c r="M59" s="255"/>
      <c r="N59" s="255"/>
      <c r="P59" s="1365"/>
      <c r="Q59" s="1366"/>
      <c r="R59" s="1366"/>
      <c r="S59" s="1367"/>
      <c r="U59" s="745"/>
      <c r="V59" s="745"/>
      <c r="W59" s="733"/>
      <c r="X59" s="733"/>
      <c r="Y59" s="745"/>
      <c r="Z59" s="733"/>
      <c r="AA59" s="730"/>
      <c r="AB59" s="730"/>
      <c r="AC59" s="730"/>
      <c r="AD59" s="730"/>
      <c r="AE59" s="730"/>
      <c r="AF59" s="734"/>
      <c r="AG59" s="734"/>
    </row>
    <row r="60" spans="1:35" ht="15" thickBot="1" x14ac:dyDescent="0.25">
      <c r="A60" s="20"/>
      <c r="B60" s="217">
        <f>B1_Gesamtkalkulation!H51</f>
        <v>0</v>
      </c>
      <c r="C60" s="218">
        <f>IFERROR(B1_Gesamtkalkulation!J51,0)</f>
        <v>0</v>
      </c>
      <c r="D60" s="218">
        <f>IFERROR(B1_Gesamtkalkulation!L51,0)</f>
        <v>0</v>
      </c>
      <c r="E60" s="218">
        <f>IFERROR(B1_Gesamtkalkulation!N51,0)</f>
        <v>0</v>
      </c>
      <c r="F60" s="219">
        <f>IFERROR(B1_Gesamtkalkulation!P51,0)</f>
        <v>0</v>
      </c>
      <c r="G60" s="220"/>
      <c r="H60" s="217" t="str">
        <f>IFERROR(B1_Gesamtkalkulation!J49,0)</f>
        <v/>
      </c>
      <c r="I60" s="218">
        <f>IFERROR(B1_Gesamtkalkulation!R51,0)</f>
        <v>0</v>
      </c>
      <c r="J60" s="218">
        <f>IFERROR(B1_Gesamtkalkulation!T51,0)</f>
        <v>0</v>
      </c>
      <c r="K60" s="219">
        <f>IFERROR(B1_Gesamtkalkulation!V51,0)</f>
        <v>0</v>
      </c>
      <c r="L60" s="219">
        <f>L19</f>
        <v>0</v>
      </c>
      <c r="P60" s="1368"/>
      <c r="Q60" s="1369"/>
      <c r="R60" s="1369"/>
      <c r="S60" s="1370"/>
      <c r="V60" s="746"/>
      <c r="X60" s="746"/>
      <c r="Y60" s="746"/>
    </row>
    <row r="61" spans="1:35" s="252" customFormat="1" ht="5.0999999999999996" customHeight="1" thickBot="1" x14ac:dyDescent="0.25">
      <c r="A61" s="275"/>
      <c r="B61" s="272"/>
      <c r="C61" s="272"/>
      <c r="D61" s="272"/>
      <c r="E61" s="272"/>
      <c r="F61" s="272"/>
      <c r="G61" s="220"/>
      <c r="H61" s="272"/>
      <c r="I61" s="258"/>
      <c r="J61" s="258"/>
      <c r="K61" s="258"/>
      <c r="P61" s="1368"/>
      <c r="Q61" s="1369"/>
      <c r="R61" s="1369"/>
      <c r="S61" s="1370"/>
      <c r="U61" s="730"/>
      <c r="V61" s="730"/>
      <c r="W61" s="730"/>
      <c r="X61" s="730"/>
      <c r="Y61" s="730"/>
      <c r="Z61" s="730"/>
      <c r="AA61" s="730"/>
      <c r="AB61" s="730"/>
      <c r="AC61" s="730"/>
      <c r="AD61" s="730"/>
      <c r="AE61" s="730"/>
      <c r="AF61" s="730"/>
      <c r="AG61" s="730"/>
      <c r="AH61"/>
      <c r="AI61"/>
    </row>
    <row r="62" spans="1:35" x14ac:dyDescent="0.2">
      <c r="A62" s="20"/>
      <c r="B62" s="1409" t="s">
        <v>745</v>
      </c>
      <c r="C62" s="1409"/>
      <c r="D62" s="1409"/>
      <c r="E62" s="1409"/>
      <c r="F62" s="1410"/>
      <c r="G62" s="220"/>
      <c r="H62" s="258"/>
      <c r="I62" s="1402" t="s">
        <v>744</v>
      </c>
      <c r="J62" s="1403"/>
      <c r="K62" s="1404"/>
      <c r="L62" s="252"/>
      <c r="P62" s="1368"/>
      <c r="Q62" s="1369"/>
      <c r="R62" s="1369"/>
      <c r="S62" s="1370"/>
    </row>
    <row r="63" spans="1:35" x14ac:dyDescent="0.2">
      <c r="A63" s="20"/>
      <c r="B63" s="672" t="s">
        <v>57</v>
      </c>
      <c r="C63" s="259" t="s">
        <v>58</v>
      </c>
      <c r="D63" s="259" t="s">
        <v>59</v>
      </c>
      <c r="E63" s="259" t="s">
        <v>60</v>
      </c>
      <c r="F63" s="260" t="s">
        <v>61</v>
      </c>
      <c r="G63" s="220"/>
      <c r="H63" s="258"/>
      <c r="I63" s="257" t="s">
        <v>290</v>
      </c>
      <c r="J63" s="259" t="s">
        <v>101</v>
      </c>
      <c r="K63" s="260" t="s">
        <v>291</v>
      </c>
      <c r="L63" s="252"/>
      <c r="P63" s="1368"/>
      <c r="Q63" s="1369"/>
      <c r="R63" s="1369"/>
      <c r="S63" s="1370"/>
    </row>
    <row r="64" spans="1:35" ht="15" thickBot="1" x14ac:dyDescent="0.25">
      <c r="A64" s="20"/>
      <c r="B64" s="673">
        <f>IFERROR(B1_Gesamtkalkulation!H53,0)</f>
        <v>0</v>
      </c>
      <c r="C64" s="218" t="str">
        <f>IFERROR(B1_Gesamtkalkulation!J53,0)</f>
        <v/>
      </c>
      <c r="D64" s="218" t="str">
        <f>IFERROR(B1_Gesamtkalkulation!L53,0)</f>
        <v/>
      </c>
      <c r="E64" s="218" t="str">
        <f>IFERROR(B1_Gesamtkalkulation!N53,0)</f>
        <v/>
      </c>
      <c r="F64" s="219" t="str">
        <f>IFERROR(B1_Gesamtkalkulation!P53,0)</f>
        <v/>
      </c>
      <c r="G64" s="220"/>
      <c r="H64" s="258"/>
      <c r="I64" s="217" t="str">
        <f>IFERROR(B1_Gesamtkalkulation!R53,0)</f>
        <v/>
      </c>
      <c r="J64" s="218" t="str">
        <f>IFERROR(B1_Gesamtkalkulation!T53,0)</f>
        <v/>
      </c>
      <c r="K64" s="219" t="str">
        <f>IFERROR(B1_Gesamtkalkulation!V53,0)</f>
        <v/>
      </c>
      <c r="L64" s="252"/>
      <c r="P64" s="1368"/>
      <c r="Q64" s="1369"/>
      <c r="R64" s="1369"/>
      <c r="S64" s="1370"/>
      <c r="U64" s="747"/>
    </row>
    <row r="65" spans="1:35" ht="7.5" customHeight="1" x14ac:dyDescent="0.2">
      <c r="A65" s="20"/>
      <c r="P65" s="1368"/>
      <c r="Q65" s="1369"/>
      <c r="R65" s="1369"/>
      <c r="S65" s="1370"/>
    </row>
    <row r="66" spans="1:35" ht="15" x14ac:dyDescent="0.25">
      <c r="A66" s="20"/>
      <c r="B66" s="261" t="s">
        <v>381</v>
      </c>
      <c r="P66" s="1368"/>
      <c r="Q66" s="1369"/>
      <c r="R66" s="1369"/>
      <c r="S66" s="1370"/>
    </row>
    <row r="67" spans="1:35" s="252" customFormat="1" ht="80.099999999999994" customHeight="1" x14ac:dyDescent="0.2">
      <c r="A67" s="275"/>
      <c r="B67" s="90"/>
      <c r="C67" s="273"/>
      <c r="H67" s="90"/>
      <c r="I67" s="273"/>
      <c r="J67" s="273"/>
      <c r="K67" s="273"/>
      <c r="L67" s="273"/>
      <c r="P67" s="1371"/>
      <c r="Q67" s="1372"/>
      <c r="R67" s="1372"/>
      <c r="S67" s="1373"/>
      <c r="U67" s="733"/>
      <c r="V67" s="730"/>
      <c r="W67" s="730"/>
      <c r="X67" s="730"/>
      <c r="Y67" s="730"/>
      <c r="Z67" s="730"/>
      <c r="AA67" s="730"/>
      <c r="AB67" s="730"/>
      <c r="AC67" s="730"/>
      <c r="AD67" s="730"/>
      <c r="AE67" s="730"/>
      <c r="AF67" s="730"/>
      <c r="AG67" s="730"/>
      <c r="AH67"/>
      <c r="AI67"/>
    </row>
    <row r="68" spans="1:35" x14ac:dyDescent="0.2">
      <c r="A68" s="20"/>
      <c r="B68" t="s">
        <v>293</v>
      </c>
      <c r="H68" t="s">
        <v>380</v>
      </c>
      <c r="S68" s="19"/>
    </row>
    <row r="69" spans="1:35" s="274" customFormat="1" ht="12" x14ac:dyDescent="0.2">
      <c r="A69" s="671"/>
      <c r="B69" s="254"/>
      <c r="C69" s="254"/>
      <c r="D69" s="254"/>
      <c r="E69" s="254"/>
      <c r="F69" s="254"/>
      <c r="G69" s="254"/>
      <c r="H69" s="254"/>
      <c r="I69" s="254"/>
      <c r="J69" s="254"/>
      <c r="K69" s="254"/>
      <c r="L69" s="254"/>
      <c r="M69" s="254"/>
      <c r="N69" s="254"/>
      <c r="O69" s="254"/>
      <c r="P69" s="254"/>
      <c r="Q69" s="254"/>
      <c r="R69" s="254"/>
      <c r="S69" s="446"/>
      <c r="U69" s="735"/>
      <c r="V69" s="735"/>
      <c r="W69" s="735"/>
      <c r="X69" s="735"/>
      <c r="Y69" s="735"/>
      <c r="Z69" s="735"/>
      <c r="AA69" s="735"/>
      <c r="AB69" s="735"/>
      <c r="AC69" s="735"/>
      <c r="AD69" s="735"/>
      <c r="AE69" s="735"/>
      <c r="AF69" s="735"/>
      <c r="AG69" s="735"/>
    </row>
    <row r="70" spans="1:35" ht="15" thickBot="1" x14ac:dyDescent="0.25"/>
    <row r="71" spans="1:35" ht="15" thickBot="1" x14ac:dyDescent="0.25">
      <c r="H71" s="1356" t="s">
        <v>485</v>
      </c>
      <c r="I71" s="1357"/>
      <c r="J71" s="1357"/>
      <c r="K71" s="1357"/>
      <c r="L71" s="1357"/>
      <c r="M71" s="1357"/>
      <c r="N71" s="1357"/>
      <c r="O71" s="1358"/>
    </row>
  </sheetData>
  <sheetProtection algorithmName="SHA-512" hashValue="+H+H1DiVVo7GMbwigkFUhTtifccrwKezXa+sRqo+CJ+7X2NgAMURh4aKBFFWEkLTcwY8slYUYhq0PxtQ2UiAyA==" saltValue="MHX03eXMHwyhFWOZFq3vVQ==" spinCount="100000" sheet="1" objects="1" scenarios="1"/>
  <customSheetViews>
    <customSheetView guid="{9119B1A0-FD79-4FE4-B78E-10E0AEB8080B}" showPageBreaks="1" showGridLines="0" fitToPage="1" printArea="1" hiddenColumns="1" view="pageLayout" topLeftCell="N58">
      <selection activeCell="D6" sqref="D6"/>
      <pageMargins left="0.39370078740157483" right="0.39370078740157483" top="0.78740157480314965" bottom="0.78740157480314965" header="0.31496062992125984" footer="0.31496062992125984"/>
      <pageSetup paperSize="9" scale="46" orientation="landscape" r:id="rId1"/>
      <headerFooter>
        <oddHeader>&amp;C&amp;9Seite 2</oddHeader>
        <oddFooter xml:space="preserve">&amp;LVersion: 21.06.2022&amp;CVerhandlungsunterlagen SGB XI (vereinfacht B1)&amp;RPSK-Beschluss Nr. 3-2022 vom 21.06.2022 </oddFooter>
      </headerFooter>
    </customSheetView>
  </customSheetViews>
  <mergeCells count="25">
    <mergeCell ref="U38:AE39"/>
    <mergeCell ref="U33:AD35"/>
    <mergeCell ref="H71:O71"/>
    <mergeCell ref="I62:K62"/>
    <mergeCell ref="A1:Q1"/>
    <mergeCell ref="A2:Q2"/>
    <mergeCell ref="B62:F62"/>
    <mergeCell ref="I58:K58"/>
    <mergeCell ref="B32:C32"/>
    <mergeCell ref="H32:I32"/>
    <mergeCell ref="C3:D3"/>
    <mergeCell ref="C4:D4"/>
    <mergeCell ref="Q3:R3"/>
    <mergeCell ref="Q4:R4"/>
    <mergeCell ref="P27:S27"/>
    <mergeCell ref="P19:S19"/>
    <mergeCell ref="P59:S67"/>
    <mergeCell ref="P20:S26"/>
    <mergeCell ref="P49:S56"/>
    <mergeCell ref="P58:S58"/>
    <mergeCell ref="P18:S18"/>
    <mergeCell ref="P28:S33"/>
    <mergeCell ref="P35:S35"/>
    <mergeCell ref="P36:S47"/>
    <mergeCell ref="P48:S48"/>
  </mergeCells>
  <dataValidations count="5">
    <dataValidation type="whole" allowBlank="1" showInputMessage="1" showErrorMessage="1" error="ganze Zahlen_x000a_ab 73 bis 100_x000a_je nach Einrichtungsart" promptTitle="je nach Einrichtungsart:" prompt="teistationär: 85% bis 100%_x000a_vollstationär: 96% bis 100%_x000a_Kurzzeitpflege: _x000a_siehe &quot;B1_Hinweise&quot; _x000a_73% bis 100% " sqref="D6" xr:uid="{00000000-0002-0000-0300-000000000000}">
      <formula1>73</formula1>
      <formula2>100</formula2>
    </dataValidation>
    <dataValidation type="list" allowBlank="1" showInputMessage="1" showErrorMessage="1" promptTitle="je nach Einrichtungsart wählen" prompt="vollstationär: 365 Tage/Jahr_x000a_KZP: 365 Tage/Jahr_x000a_teilstationär: Mo-Fr. 250 Tage/Jahr_x000a_teilstationär: Mo-Sa 312 Tage/Jahr_x000a_teilstationär: Mo-So 365 Tage/Jahr" sqref="I6" xr:uid="{00000000-0002-0000-0300-000001000000}">
      <formula1>"250,312,365"</formula1>
    </dataValidation>
    <dataValidation allowBlank="1" showErrorMessage="1" error="Forderung liegt über max. zu vereinbarenden Wert (17,90 €)" sqref="L19" xr:uid="{00000000-0002-0000-0300-000002000000}"/>
    <dataValidation type="custom" allowBlank="1" showInputMessage="1" showErrorMessage="1" errorTitle="Steigerungsrate" error="liegt über abgestimmten Prozentsatz. Bitte korrigieren." promptTitle="Steigerungsrate" prompt="einheitlich für Sachkosten" sqref="N35" xr:uid="{00000000-0002-0000-0300-000003000000}">
      <formula1>N35&lt;=5%</formula1>
    </dataValidation>
    <dataValidation type="custom" allowBlank="1" showInputMessage="1" showErrorMessage="1" errorTitle="Steigerungsrate" error="liegt über abgestimmten Prozentsatz, bitte korrigieren." promptTitle="Steigerungsrate" prompt="einheitlich für Fremdleistung" sqref="N48" xr:uid="{00000000-0002-0000-0300-000004000000}">
      <formula1>N48&lt;=7%</formula1>
    </dataValidation>
  </dataValidations>
  <hyperlinks>
    <hyperlink ref="H71" location="'Anlage 1'!A1" display="Anlage 1" xr:uid="{00000000-0004-0000-0300-000000000000}"/>
    <hyperlink ref="H71:O71" location="B1_Berechnung!A1" display="gehe weiter zu B1_Berechnung" xr:uid="{00000000-0004-0000-0300-000001000000}"/>
  </hyperlinks>
  <pageMargins left="0.39370078740157483" right="0.39370078740157483" top="0.78740157480314965" bottom="0.78740157480314965" header="0.31496062992125984" footer="0.31496062992125984"/>
  <pageSetup paperSize="9" scale="44" orientation="landscape"/>
  <headerFooter>
    <oddHeader>&amp;C&amp;9Seite 2</oddHeader>
    <oddFooter>&amp;LVersion: 25.11.2024&amp;CVerhandlungsunterlagen SGB XI (vereinfacht B1)&amp;RPSK-Beschluss vom 07.11.2024</oddFooter>
  </headerFooter>
  <ignoredErrors>
    <ignoredError sqref="O20:O26" unlockedFormula="1"/>
    <ignoredError sqref="L51" formula="1"/>
  </ignoredErrors>
  <extLst>
    <ext xmlns:x14="http://schemas.microsoft.com/office/spreadsheetml/2009/9/main" uri="{78C0D931-6437-407d-A8EE-F0AAD7539E65}">
      <x14:conditionalFormattings>
        <x14:conditionalFormatting xmlns:xm="http://schemas.microsoft.com/office/excel/2006/main">
          <x14:cfRule type="expression" priority="4" id="{9D4A4E28-5193-49F4-A427-6F88120F1AB4}">
            <xm:f>'B1_Allgemeine Angaben'!$D$7&lt;&gt;"kzp"</xm:f>
            <x14:dxf>
              <font>
                <color theme="0" tint="-0.14996795556505021"/>
              </font>
              <fill>
                <patternFill>
                  <bgColor theme="0" tint="-0.24994659260841701"/>
                </patternFill>
              </fill>
              <border>
                <top/>
                <bottom/>
                <vertical/>
                <horizontal/>
              </border>
            </x14:dxf>
          </x14:cfRule>
          <xm:sqref>B7:C7</xm:sqref>
        </x14:conditionalFormatting>
        <x14:conditionalFormatting xmlns:xm="http://schemas.microsoft.com/office/excel/2006/main">
          <x14:cfRule type="expression" priority="18" id="{BF353730-72EE-4C6A-9C39-84208F488C9E}">
            <xm:f>'B1_Allgemeine Angaben'!$D$7&lt;&gt;"vst"</xm:f>
            <x14:dxf>
              <font>
                <color theme="0" tint="-4.9989318521683403E-2"/>
              </font>
              <fill>
                <patternFill>
                  <bgColor theme="0" tint="-0.14996795556505021"/>
                </patternFill>
              </fill>
            </x14:dxf>
          </x14:cfRule>
          <xm:sqref>B25:D25</xm:sqref>
        </x14:conditionalFormatting>
        <x14:conditionalFormatting xmlns:xm="http://schemas.microsoft.com/office/excel/2006/main">
          <x14:cfRule type="expression" priority="76" id="{B9B3E313-7FAE-472A-8951-AC525CA5760A}">
            <xm:f>'B1_Allgemeine Angaben'!$M$48=0</xm:f>
            <x14:dxf>
              <font>
                <color theme="0" tint="-0.24994659260841701"/>
              </font>
              <fill>
                <patternFill>
                  <bgColor theme="0" tint="-0.34998626667073579"/>
                </patternFill>
              </fill>
              <border>
                <left/>
                <right/>
                <top/>
                <bottom/>
              </border>
            </x14:dxf>
          </x14:cfRule>
          <xm:sqref>B16:F17 H16:L17</xm:sqref>
        </x14:conditionalFormatting>
        <x14:conditionalFormatting xmlns:xm="http://schemas.microsoft.com/office/excel/2006/main">
          <x14:cfRule type="expression" priority="24" id="{10138DDA-0113-4BF7-B442-64C624BBE027}">
            <xm:f>'B1_Allgemeine Angaben'!$D$7&lt;&gt;"vst"</xm:f>
            <x14:dxf>
              <font>
                <color theme="0" tint="-0.14996795556505021"/>
              </font>
              <fill>
                <patternFill>
                  <bgColor theme="0" tint="-0.24994659260841701"/>
                </patternFill>
              </fill>
            </x14:dxf>
          </x14:cfRule>
          <xm:sqref>B51:F51</xm:sqref>
        </x14:conditionalFormatting>
        <x14:conditionalFormatting xmlns:xm="http://schemas.microsoft.com/office/excel/2006/main">
          <x14:cfRule type="expression" priority="75" id="{A21501EE-BCA5-41D9-B4F3-2002CB5EFB90}">
            <xm:f>'B1_Allgemeine Angaben'!$M$48=0</xm:f>
            <x14:dxf>
              <font>
                <color theme="0" tint="-0.14996795556505021"/>
              </font>
              <fill>
                <patternFill>
                  <bgColor theme="0" tint="-0.24994659260841701"/>
                </patternFill>
              </fill>
              <border>
                <left style="thin">
                  <color auto="1"/>
                </left>
                <right/>
                <top/>
                <bottom/>
                <vertical/>
                <horizontal/>
              </border>
            </x14:dxf>
          </x14:cfRule>
          <xm:sqref>B62:F62 B63:B64 F63:F64</xm:sqref>
        </x14:conditionalFormatting>
        <x14:conditionalFormatting xmlns:xm="http://schemas.microsoft.com/office/excel/2006/main">
          <x14:cfRule type="expression" priority="3" id="{5D83A8B9-F734-4F6A-A48E-2B5ABFCE7E98}">
            <xm:f>'B1_Allgemeine Angaben'!$D$7&lt;&gt;"kzp"</xm:f>
            <x14:dxf>
              <font>
                <color theme="0" tint="-0.14996795556505021"/>
              </font>
              <fill>
                <patternFill>
                  <bgColor theme="0" tint="-0.24994659260841701"/>
                </patternFill>
              </fill>
              <border>
                <left/>
                <right/>
                <bottom/>
                <vertical/>
                <horizontal/>
              </border>
            </x14:dxf>
          </x14:cfRule>
          <xm:sqref>D7</xm:sqref>
        </x14:conditionalFormatting>
        <x14:conditionalFormatting xmlns:xm="http://schemas.microsoft.com/office/excel/2006/main">
          <x14:cfRule type="expression" priority="37" id="{7EED9CB8-E343-4D34-A76E-0D149CBE2CEA}">
            <xm:f>'B1_Allgemeine Angaben'!$D$7&lt;&gt;"tst"</xm:f>
            <x14:dxf>
              <font>
                <color theme="0"/>
              </font>
              <fill>
                <patternFill>
                  <fgColor theme="0"/>
                  <bgColor theme="0"/>
                </patternFill>
              </fill>
              <border>
                <left style="thin">
                  <color auto="1"/>
                </left>
                <right/>
                <top/>
                <bottom/>
                <vertical/>
                <horizontal/>
              </border>
            </x14:dxf>
          </x14:cfRule>
          <xm:sqref>E19</xm:sqref>
        </x14:conditionalFormatting>
        <x14:conditionalFormatting xmlns:xm="http://schemas.microsoft.com/office/excel/2006/main">
          <x14:cfRule type="expression" priority="2" id="{B0502460-FA8F-4C4D-A7EB-E7646C7FFABF}">
            <xm:f>'B1_Allgemeine Angaben'!$D$7&lt;&gt;"kzp"</xm:f>
            <x14:dxf>
              <font>
                <color theme="0" tint="-0.14996795556505021"/>
              </font>
              <fill>
                <patternFill>
                  <bgColor theme="0" tint="-0.24994659260841701"/>
                </patternFill>
              </fill>
              <border>
                <left/>
                <right/>
                <top/>
                <bottom/>
                <vertical/>
                <horizontal/>
              </border>
            </x14:dxf>
          </x14:cfRule>
          <xm:sqref>E7:F7</xm:sqref>
        </x14:conditionalFormatting>
        <x14:conditionalFormatting xmlns:xm="http://schemas.microsoft.com/office/excel/2006/main">
          <x14:cfRule type="expression" priority="36" id="{E3BB435D-9F54-4BF1-BD4F-B6C588E2BF09}">
            <xm:f>'B1_Allgemeine Angaben'!$D$7&lt;&gt;"tst"</xm:f>
            <x14:dxf>
              <font>
                <color theme="0" tint="-0.14996795556505021"/>
              </font>
              <fill>
                <patternFill>
                  <fgColor theme="0"/>
                  <bgColor theme="0" tint="-0.24994659260841701"/>
                </patternFill>
              </fill>
              <border>
                <left/>
                <right/>
                <top/>
                <bottom/>
                <vertical/>
                <horizontal/>
              </border>
            </x14:dxf>
          </x14:cfRule>
          <xm:sqref>F19</xm:sqref>
        </x14:conditionalFormatting>
        <x14:conditionalFormatting xmlns:xm="http://schemas.microsoft.com/office/excel/2006/main">
          <x14:cfRule type="expression" priority="81" id="{535B2BD5-69C4-4999-BA48-A73B05B1D54B}">
            <xm:f>'B1_Allgemeine Angaben'!$M$48=0</xm:f>
            <x14:dxf>
              <border>
                <left/>
                <right/>
                <top/>
                <bottom/>
                <vertical/>
                <horizontal/>
              </border>
            </x14:dxf>
          </x14:cfRule>
          <xm:sqref>F63:F64</xm:sqref>
        </x14:conditionalFormatting>
        <x14:conditionalFormatting xmlns:xm="http://schemas.microsoft.com/office/excel/2006/main">
          <x14:cfRule type="expression" priority="82" id="{5A94A4FE-BBB5-44D2-A967-4105FD134481}">
            <xm:f>'B1_Allgemeine Angaben'!$M$48=0</xm:f>
            <x14:dxf>
              <font>
                <color theme="0"/>
              </font>
              <fill>
                <patternFill>
                  <fgColor theme="0"/>
                  <bgColor theme="0"/>
                </patternFill>
              </fill>
              <border>
                <left/>
                <right/>
                <top/>
                <bottom/>
                <vertical/>
                <horizontal/>
              </border>
            </x14:dxf>
          </x14:cfRule>
          <xm:sqref>H16</xm:sqref>
        </x14:conditionalFormatting>
        <x14:conditionalFormatting xmlns:xm="http://schemas.microsoft.com/office/excel/2006/main">
          <x14:cfRule type="expression" priority="32" id="{4FAEF94E-8D74-41A5-90D2-634C432A36E7}">
            <xm:f>'B1_Allgemeine Angaben'!$D$7&lt;&gt;"vst"</xm:f>
            <x14:dxf>
              <font>
                <color theme="0"/>
              </font>
              <fill>
                <patternFill>
                  <fgColor theme="0"/>
                  <bgColor theme="0"/>
                </patternFill>
              </fill>
              <border>
                <left/>
                <right style="thin">
                  <color auto="1"/>
                </right>
                <top/>
                <bottom/>
                <vertical/>
                <horizontal/>
              </border>
            </x14:dxf>
          </x14:cfRule>
          <xm:sqref>H58:H60</xm:sqref>
        </x14:conditionalFormatting>
        <x14:conditionalFormatting xmlns:xm="http://schemas.microsoft.com/office/excel/2006/main">
          <x14:cfRule type="expression" priority="25" id="{A463FEA6-E1A1-4B40-A407-14797A68EF3B}">
            <xm:f>'B1_Allgemeine Angaben'!$D$7&lt;&gt;"vst"</xm:f>
            <x14:dxf>
              <font>
                <color theme="0" tint="-0.24994659260841701"/>
              </font>
              <fill>
                <patternFill>
                  <bgColor theme="0" tint="-0.24994659260841701"/>
                </patternFill>
              </fill>
            </x14:dxf>
          </x14:cfRule>
          <xm:sqref>H51:K51</xm:sqref>
        </x14:conditionalFormatting>
        <x14:conditionalFormatting xmlns:xm="http://schemas.microsoft.com/office/excel/2006/main">
          <x14:cfRule type="expression" priority="27" id="{5F7E4E2D-5E9F-4983-BF21-AEFF4F8565A8}">
            <xm:f>'B1_Allgemeine Angaben'!$D$7&lt;&gt;"vst"</xm:f>
            <x14:dxf>
              <font>
                <color theme="0" tint="-0.24994659260841701"/>
              </font>
              <fill>
                <patternFill>
                  <bgColor theme="0" tint="-0.24994659260841701"/>
                </patternFill>
              </fill>
            </x14:dxf>
          </x14:cfRule>
          <xm:sqref>H25:L25</xm:sqref>
        </x14:conditionalFormatting>
        <x14:conditionalFormatting xmlns:xm="http://schemas.microsoft.com/office/excel/2006/main">
          <x14:cfRule type="expression" priority="33" id="{8C0A39DB-CC9F-47E1-A712-15B1A636D9F3}">
            <xm:f>'B1_Allgemeine Angaben'!$D$7="tst"</xm:f>
            <x14:dxf>
              <fill>
                <patternFill>
                  <fgColor theme="0"/>
                </patternFill>
              </fill>
              <border>
                <left/>
                <right/>
                <top/>
                <bottom/>
                <vertical/>
                <horizontal/>
              </border>
            </x14:dxf>
          </x14:cfRule>
          <xm:sqref>H71:O71</xm:sqref>
        </x14:conditionalFormatting>
        <x14:conditionalFormatting xmlns:xm="http://schemas.microsoft.com/office/excel/2006/main">
          <x14:cfRule type="expression" priority="78" id="{86A9EC2E-0278-481E-ACC5-0B6D9E1B776A}">
            <xm:f>'B1_Allgemeine Angaben'!$M$48=0</xm:f>
            <x14:dxf>
              <font>
                <color theme="0" tint="-0.14996795556505021"/>
              </font>
              <fill>
                <patternFill>
                  <fgColor theme="0"/>
                  <bgColor theme="0" tint="-0.24994659260841701"/>
                </patternFill>
              </fill>
              <border>
                <left/>
                <right/>
                <top/>
                <bottom/>
                <vertical/>
                <horizontal/>
              </border>
            </x14:dxf>
          </x14:cfRule>
          <xm:sqref>I62:K64 C63:E64</xm:sqref>
        </x14:conditionalFormatting>
        <x14:conditionalFormatting xmlns:xm="http://schemas.microsoft.com/office/excel/2006/main">
          <x14:cfRule type="expression" priority="43" id="{78C4B612-6B76-487F-BE2D-B3E1E1E97178}">
            <xm:f>'B1_Allgemeine Angaben'!$D$7&lt;&gt;"tst"</xm:f>
            <x14:dxf>
              <font>
                <color theme="0"/>
              </font>
              <fill>
                <patternFill>
                  <fgColor theme="0"/>
                  <bgColor theme="0"/>
                </patternFill>
              </fill>
              <border>
                <left style="thin">
                  <color auto="1"/>
                </left>
                <right/>
                <top/>
                <bottom/>
                <vertical/>
                <horizontal/>
              </border>
            </x14:dxf>
          </x14:cfRule>
          <xm:sqref>K19</xm:sqref>
        </x14:conditionalFormatting>
        <x14:conditionalFormatting xmlns:xm="http://schemas.microsoft.com/office/excel/2006/main">
          <x14:cfRule type="expression" priority="84" id="{3F138CFD-D2AF-456C-8328-2ED7240288EF}">
            <xm:f>'B1_Allgemeine Angaben'!$M$48=0</xm:f>
            <x14:dxf>
              <font>
                <color theme="6" tint="0.59996337778862885"/>
              </font>
              <fill>
                <patternFill>
                  <bgColor theme="6" tint="0.59996337778862885"/>
                </patternFill>
              </fill>
            </x14:dxf>
          </x14:cfRule>
          <xm:sqref>K3:L3</xm:sqref>
        </x14:conditionalFormatting>
        <x14:conditionalFormatting xmlns:xm="http://schemas.microsoft.com/office/excel/2006/main">
          <x14:cfRule type="expression" priority="42" id="{15FD42FB-B033-4D61-BDC7-36879DA7ABBC}">
            <xm:f>'B1_Allgemeine Angaben'!$D$7&lt;&gt;"tst"</xm:f>
            <x14:dxf>
              <font>
                <color theme="0" tint="-0.14996795556505021"/>
              </font>
              <fill>
                <patternFill>
                  <fgColor theme="0"/>
                  <bgColor theme="0" tint="-0.24994659260841701"/>
                </patternFill>
              </fill>
              <border>
                <left/>
                <right/>
                <top/>
                <bottom/>
                <vertical/>
                <horizontal/>
              </border>
            </x14:dxf>
          </x14:cfRule>
          <xm:sqref>L19</xm:sqref>
        </x14:conditionalFormatting>
        <x14:conditionalFormatting xmlns:xm="http://schemas.microsoft.com/office/excel/2006/main">
          <x14:cfRule type="expression" priority="1" id="{9CDBB1F8-AFEC-49C8-9CCA-B77825C7174A}">
            <xm:f>KAT!$A$160="nein"</xm:f>
            <x14:dxf>
              <fill>
                <patternFill>
                  <bgColor theme="0"/>
                </patternFill>
              </fill>
            </x14:dxf>
          </x14:cfRule>
          <xm:sqref>L20</xm:sqref>
        </x14:conditionalFormatting>
        <x14:conditionalFormatting xmlns:xm="http://schemas.microsoft.com/office/excel/2006/main">
          <x14:cfRule type="expression" priority="6" id="{28B5E04D-CD9B-40C0-861A-4F7D3B63414C}">
            <xm:f>'B1_Allgemeine Angaben'!$D$7&lt;&gt;"vst"</xm:f>
            <x14:dxf>
              <font>
                <color theme="0" tint="-4.9989318521683403E-2"/>
              </font>
              <fill>
                <patternFill>
                  <bgColor theme="0" tint="-0.24994659260841701"/>
                </patternFill>
              </fill>
            </x14:dxf>
          </x14:cfRule>
          <xm:sqref>L51</xm:sqref>
        </x14:conditionalFormatting>
        <x14:conditionalFormatting xmlns:xm="http://schemas.microsoft.com/office/excel/2006/main">
          <x14:cfRule type="expression" priority="34" id="{64370A19-8E96-4201-94FE-8286514C14FD}">
            <xm:f>'B1_Allgemeine Angaben'!$D$7&lt;&gt;"tst"</xm:f>
            <x14:dxf>
              <font>
                <color theme="0"/>
              </font>
              <fill>
                <patternFill>
                  <fgColor theme="0"/>
                  <bgColor theme="0"/>
                </patternFill>
              </fill>
              <border>
                <left style="thin">
                  <color auto="1"/>
                </left>
                <right/>
                <top/>
                <bottom/>
                <vertical/>
                <horizontal/>
              </border>
            </x14:dxf>
          </x14:cfRule>
          <xm:sqref>L58:L60</xm:sqref>
        </x14:conditionalFormatting>
        <x14:conditionalFormatting xmlns:xm="http://schemas.microsoft.com/office/excel/2006/main">
          <x14:cfRule type="expression" priority="5" id="{1E61AD59-C0CC-4951-8EA5-B188E01C06E1}">
            <xm:f>'B1_Allgemeine Angaben'!$D$7&lt;&gt;"vst"</xm:f>
            <x14:dxf>
              <font>
                <color theme="0"/>
              </font>
              <fill>
                <patternFill>
                  <bgColor theme="0" tint="-0.24994659260841701"/>
                </patternFill>
              </fill>
            </x14:dxf>
          </x14:cfRule>
          <xm:sqref>M51</xm:sqref>
        </x14:conditionalFormatting>
        <x14:conditionalFormatting xmlns:xm="http://schemas.microsoft.com/office/excel/2006/main">
          <x14:cfRule type="expression" priority="85" id="{55E4823F-0ABB-456B-BE09-1B044594B2AD}">
            <xm:f>'B1_Allgemeine Angaben'!$M$48=0</xm:f>
            <x14:dxf>
              <font>
                <color theme="0"/>
              </font>
            </x14:dxf>
          </x14:cfRule>
          <xm:sqref>M16:N16</xm:sqref>
        </x14:conditionalFormatting>
        <x14:conditionalFormatting xmlns:xm="http://schemas.microsoft.com/office/excel/2006/main">
          <x14:cfRule type="expression" priority="8" id="{1165FD37-26AE-49BC-815F-A9BFD4C61533}">
            <xm:f>'B1_Allgemeine Angaben'!$D$7&lt;&gt;"tst"</xm:f>
            <x14:dxf>
              <font>
                <color theme="0" tint="-0.14996795556505021"/>
              </font>
              <fill>
                <patternFill>
                  <bgColor theme="0" tint="-0.24994659260841701"/>
                </patternFill>
              </fill>
              <border>
                <left/>
                <right/>
                <top/>
                <bottom/>
                <vertical/>
                <horizontal/>
              </border>
            </x14:dxf>
          </x14:cfRule>
          <xm:sqref>M18:N19</xm:sqref>
        </x14:conditionalFormatting>
        <x14:conditionalFormatting xmlns:xm="http://schemas.microsoft.com/office/excel/2006/main">
          <x14:cfRule type="expression" priority="86" id="{4AD6B331-DE55-4481-B3E0-93D96532B7D6}">
            <xm:f>'B1_Allgemeine Angaben'!$M$48=0</xm:f>
            <x14:dxf>
              <font>
                <color theme="0" tint="-0.14996795556505021"/>
              </font>
              <fill>
                <patternFill>
                  <bgColor theme="0" tint="-0.24994659260841701"/>
                </patternFill>
              </fill>
              <border>
                <left/>
                <right/>
                <top/>
                <bottom/>
                <vertical/>
                <horizontal/>
              </border>
            </x14:dxf>
          </x14:cfRule>
          <x14:cfRule type="expression" priority="87" id="{ACC04F98-0927-467E-93C0-4B58A83A0197}">
            <xm:f>'B1_Allgemeine Angaben'!$M$48=0</xm:f>
            <x14:dxf>
              <font>
                <color theme="0"/>
              </font>
              <fill>
                <patternFill>
                  <bgColor theme="0"/>
                </patternFill>
              </fill>
              <border>
                <left/>
                <right/>
                <top/>
                <bottom/>
                <vertical/>
                <horizontal/>
              </border>
            </x14:dxf>
          </x14:cfRule>
          <xm:sqref>O19:O33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13360F9C-D5E9-4697-96EC-126920DE4715}">
          <x14:formula1>
            <xm:f>KAT!$F$105:$F$107</xm:f>
          </x14:formula1>
          <xm:sqref>K19</xm:sqref>
        </x14:dataValidation>
        <x14:dataValidation type="custom" allowBlank="1" showInputMessage="1" showErrorMessage="1" error="Forderung liegt über max. Steigerungsrate (5,00%)." xr:uid="{00000000-0002-0000-0300-000005000000}">
          <x14:formula1>
            <xm:f>M48&lt;KAT!I109+0.001%</xm:f>
          </x14:formula1>
          <xm:sqref>M48</xm:sqref>
        </x14:dataValidation>
        <x14:dataValidation type="custom" allowBlank="1" showInputMessage="1" showErrorMessage="1" error="Forderung liegt über max. Steigerungsrate (3,50%)._x000a_" xr:uid="{00000000-0002-0000-0300-000006000000}">
          <x14:formula1>
            <xm:f>M35&lt;KAT!I108+0.001%</xm:f>
          </x14:formula1>
          <xm:sqref>M35</xm:sqref>
        </x14:dataValidation>
        <x14:dataValidation type="custom" allowBlank="1" showInputMessage="1" showErrorMessage="1" error="Forderung liegt über max. Steigerungsrate (5,00%)." xr:uid="{00000000-0002-0000-0300-000007000000}">
          <x14:formula1>
            <xm:f>M28&lt;KAT!I100+0.001%</xm:f>
          </x14:formula1>
          <xm:sqref>M28:M32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51"/>
  <sheetViews>
    <sheetView showGridLines="0" zoomScaleNormal="100" workbookViewId="0">
      <selection activeCell="C4" sqref="C4"/>
    </sheetView>
  </sheetViews>
  <sheetFormatPr baseColWidth="10" defaultRowHeight="14.25" x14ac:dyDescent="0.2"/>
  <cols>
    <col min="1" max="1" width="3.875" customWidth="1"/>
    <col min="2" max="2" width="46.25" customWidth="1"/>
    <col min="3" max="7" width="15.625" customWidth="1"/>
    <col min="8" max="8" width="14.25" customWidth="1"/>
    <col min="9" max="10" width="11.625" customWidth="1"/>
    <col min="11" max="12" width="11" customWidth="1"/>
    <col min="13" max="13" width="5.625" customWidth="1"/>
    <col min="14" max="14" width="15.5" hidden="1" customWidth="1"/>
    <col min="15" max="15" width="15.375" hidden="1" customWidth="1"/>
    <col min="16" max="16" width="13.875" hidden="1" customWidth="1"/>
    <col min="17" max="18" width="11" hidden="1" customWidth="1"/>
    <col min="19" max="19" width="14.75" hidden="1" customWidth="1"/>
    <col min="20" max="20" width="12.625" hidden="1" customWidth="1"/>
    <col min="21" max="25" width="0" hidden="1" customWidth="1"/>
  </cols>
  <sheetData>
    <row r="1" spans="1:20" ht="28.5" customHeight="1" x14ac:dyDescent="0.25">
      <c r="A1" s="1428" t="str">
        <f>'B1_Allgemeine Angaben'!A1:A1</f>
        <v>Vereinfachtes Verfahren der Aufforderung zum Abschluss einer Pflegesatzvereinbarung gemäß § 84, 85 SGB XI mit Orientierung auf das regional übliche Entgeltniveau (Stand 31.10.2024)</v>
      </c>
      <c r="B1" s="1429"/>
      <c r="C1" s="1429"/>
      <c r="D1" s="1429"/>
      <c r="E1" s="1429"/>
      <c r="F1" s="1429"/>
      <c r="G1" s="1429"/>
      <c r="H1" s="1429"/>
      <c r="I1" s="1429"/>
      <c r="J1" s="1429"/>
      <c r="K1" s="1429"/>
      <c r="L1" s="952"/>
      <c r="N1" s="674" t="s">
        <v>428</v>
      </c>
      <c r="O1" s="426"/>
      <c r="P1" s="426"/>
    </row>
    <row r="2" spans="1:20" ht="15" x14ac:dyDescent="0.25">
      <c r="A2" s="953"/>
      <c r="B2" s="1341" t="s">
        <v>378</v>
      </c>
      <c r="C2" s="1341"/>
      <c r="D2" s="1341"/>
      <c r="E2" s="1341"/>
      <c r="F2" s="1341"/>
      <c r="G2" s="1341"/>
      <c r="H2" s="1341"/>
      <c r="I2" s="1341"/>
      <c r="J2" s="1341"/>
      <c r="K2" s="1341"/>
      <c r="L2" s="1342"/>
      <c r="N2" s="426"/>
      <c r="O2" s="426"/>
      <c r="P2" s="426"/>
    </row>
    <row r="3" spans="1:20" x14ac:dyDescent="0.2">
      <c r="A3" s="953"/>
      <c r="B3" s="954">
        <f>'B1_Allgemeine Angaben'!D12:D12</f>
        <v>0</v>
      </c>
      <c r="C3" s="955"/>
      <c r="D3" s="955"/>
      <c r="E3" s="955"/>
      <c r="F3" s="955"/>
      <c r="G3" s="955"/>
      <c r="H3" s="955"/>
      <c r="I3" s="956" t="str">
        <f>B1_Kalkulation!O3</f>
        <v>Institutionskennzeichen:</v>
      </c>
      <c r="J3" s="957"/>
      <c r="K3" s="958">
        <f>'B1_Allgemeine Angaben'!L6:L6</f>
        <v>0</v>
      </c>
      <c r="L3" s="959"/>
      <c r="N3" s="426"/>
      <c r="O3" s="426"/>
      <c r="P3" s="426"/>
    </row>
    <row r="4" spans="1:20" x14ac:dyDescent="0.2">
      <c r="A4" s="953"/>
      <c r="B4" s="960">
        <f>'B1_Allgemeine Angaben'!D16:D16</f>
        <v>0</v>
      </c>
      <c r="C4" s="955"/>
      <c r="D4" s="955"/>
      <c r="E4" s="955"/>
      <c r="F4" s="955"/>
      <c r="G4" s="955"/>
      <c r="H4" s="955"/>
      <c r="I4" s="961" t="str">
        <f>B1_Kalkulation!O4</f>
        <v>Antrag vom:</v>
      </c>
      <c r="J4" s="962"/>
      <c r="K4" s="963">
        <f>'B1_Allgemeine Angaben'!L4:L4</f>
        <v>0</v>
      </c>
      <c r="L4" s="959"/>
      <c r="N4" s="426"/>
      <c r="O4" s="426"/>
      <c r="P4" s="426"/>
      <c r="Q4" s="427"/>
      <c r="R4" s="427"/>
      <c r="S4" s="427"/>
    </row>
    <row r="5" spans="1:20" x14ac:dyDescent="0.2">
      <c r="A5" s="617"/>
      <c r="B5" s="618"/>
      <c r="C5" s="618"/>
      <c r="D5" s="618"/>
      <c r="E5" s="618"/>
      <c r="F5" s="618"/>
      <c r="G5" s="618"/>
      <c r="H5" s="618"/>
      <c r="I5" s="618"/>
      <c r="J5" s="618"/>
      <c r="K5" s="618"/>
      <c r="L5" s="629"/>
      <c r="N5" s="426"/>
      <c r="O5" s="426"/>
      <c r="P5" s="426"/>
      <c r="Q5" s="427"/>
      <c r="R5" s="427"/>
      <c r="S5" s="427"/>
    </row>
    <row r="6" spans="1:20" x14ac:dyDescent="0.2">
      <c r="A6" s="617"/>
      <c r="B6" s="618"/>
      <c r="C6" s="618"/>
      <c r="D6" s="618"/>
      <c r="E6" s="618"/>
      <c r="F6" s="618"/>
      <c r="G6" s="618"/>
      <c r="H6" s="618"/>
      <c r="I6" s="618"/>
      <c r="J6" s="618"/>
      <c r="K6" s="618"/>
      <c r="L6" s="629"/>
      <c r="N6" s="426"/>
      <c r="O6" s="426"/>
      <c r="P6" s="426"/>
      <c r="Q6" s="427"/>
      <c r="R6" s="427"/>
      <c r="S6" s="427"/>
    </row>
    <row r="7" spans="1:20" x14ac:dyDescent="0.2">
      <c r="A7" s="617"/>
      <c r="B7" s="618"/>
      <c r="C7" s="618"/>
      <c r="D7" s="618"/>
      <c r="E7" s="618"/>
      <c r="F7" s="618"/>
      <c r="G7" s="618"/>
      <c r="H7" s="618"/>
      <c r="I7" s="618"/>
      <c r="J7" s="618"/>
      <c r="K7" s="618"/>
      <c r="L7" s="629"/>
      <c r="N7" s="426"/>
      <c r="O7" s="426"/>
      <c r="P7" s="426"/>
      <c r="Q7" s="427"/>
      <c r="R7" s="427"/>
      <c r="S7" s="427"/>
    </row>
    <row r="8" spans="1:20" x14ac:dyDescent="0.2">
      <c r="A8" s="617"/>
      <c r="B8" s="618"/>
      <c r="C8" s="618"/>
      <c r="D8" s="618"/>
      <c r="E8" s="618"/>
      <c r="F8" s="618"/>
      <c r="G8" s="618"/>
      <c r="H8" s="618"/>
      <c r="I8" s="618"/>
      <c r="J8" s="618"/>
      <c r="K8" s="618"/>
      <c r="L8" s="629"/>
      <c r="N8" s="426"/>
      <c r="O8" s="426"/>
      <c r="P8" s="426"/>
      <c r="Q8" s="427"/>
      <c r="R8" s="427"/>
      <c r="S8" s="427"/>
    </row>
    <row r="9" spans="1:20" x14ac:dyDescent="0.2">
      <c r="A9" s="617"/>
      <c r="B9" s="618"/>
      <c r="C9" s="618"/>
      <c r="D9" s="618"/>
      <c r="E9" s="618"/>
      <c r="F9" s="618"/>
      <c r="G9" s="618"/>
      <c r="H9" s="618"/>
      <c r="I9" s="618"/>
      <c r="J9" s="618"/>
      <c r="K9" s="618"/>
      <c r="L9" s="629"/>
      <c r="N9" s="426"/>
      <c r="O9" s="426"/>
      <c r="P9" s="426"/>
      <c r="Q9" s="427"/>
      <c r="R9" s="427"/>
      <c r="S9" s="427"/>
    </row>
    <row r="10" spans="1:20" x14ac:dyDescent="0.2">
      <c r="A10" s="617"/>
      <c r="B10" s="618"/>
      <c r="C10" s="618"/>
      <c r="D10" s="618"/>
      <c r="E10" s="618"/>
      <c r="F10" s="618"/>
      <c r="G10" s="618"/>
      <c r="H10" s="618"/>
      <c r="I10" s="618"/>
      <c r="J10" s="618"/>
      <c r="K10" s="618"/>
      <c r="L10" s="629"/>
      <c r="N10" s="426"/>
      <c r="O10" s="426"/>
      <c r="P10" s="426"/>
      <c r="Q10" s="427"/>
      <c r="R10" s="427"/>
      <c r="S10" s="427"/>
    </row>
    <row r="11" spans="1:20" ht="60.75" customHeight="1" x14ac:dyDescent="0.2">
      <c r="A11" s="617"/>
      <c r="B11" s="1436" t="s">
        <v>332</v>
      </c>
      <c r="C11" s="1436" t="s">
        <v>305</v>
      </c>
      <c r="D11" s="964" t="s">
        <v>333</v>
      </c>
      <c r="E11" s="965" t="s">
        <v>334</v>
      </c>
      <c r="F11" s="966" t="s">
        <v>335</v>
      </c>
      <c r="G11" s="1439" t="s">
        <v>981</v>
      </c>
      <c r="H11" s="967" t="s">
        <v>362</v>
      </c>
      <c r="I11" s="967" t="s">
        <v>363</v>
      </c>
      <c r="J11" s="967" t="s">
        <v>385</v>
      </c>
      <c r="K11" s="618"/>
      <c r="L11" s="629"/>
      <c r="N11" s="1441" t="s">
        <v>419</v>
      </c>
      <c r="O11" s="1441"/>
      <c r="P11" s="1441"/>
      <c r="Q11" s="427"/>
      <c r="R11" s="427"/>
      <c r="S11" s="427"/>
    </row>
    <row r="12" spans="1:20" x14ac:dyDescent="0.2">
      <c r="A12" s="617"/>
      <c r="B12" s="1437"/>
      <c r="C12" s="1437"/>
      <c r="D12" s="968"/>
      <c r="E12" s="969"/>
      <c r="F12" s="970"/>
      <c r="G12" s="1440"/>
      <c r="H12" s="425"/>
      <c r="I12" s="971">
        <v>0.02</v>
      </c>
      <c r="J12" s="971">
        <v>0.02</v>
      </c>
      <c r="K12" s="618"/>
      <c r="L12" s="629"/>
      <c r="N12" s="426"/>
      <c r="O12" s="426"/>
      <c r="P12" s="426"/>
      <c r="Q12" s="427"/>
      <c r="R12" s="427"/>
      <c r="S12" s="427"/>
    </row>
    <row r="13" spans="1:20" x14ac:dyDescent="0.2">
      <c r="A13" s="617"/>
      <c r="B13" s="972"/>
      <c r="C13" s="972"/>
      <c r="D13" s="618"/>
      <c r="E13" s="973">
        <f>IF(OR(E14&lt;0%,E14&gt;10.001%),"Fehler",0)</f>
        <v>0</v>
      </c>
      <c r="F13" s="974"/>
      <c r="G13" s="1033"/>
      <c r="H13" s="975"/>
      <c r="I13" s="976"/>
      <c r="J13" s="977"/>
      <c r="K13" s="618"/>
      <c r="L13" s="629"/>
      <c r="N13" s="422" t="s">
        <v>407</v>
      </c>
      <c r="O13" s="423" t="s">
        <v>405</v>
      </c>
      <c r="P13" s="424" t="s">
        <v>406</v>
      </c>
      <c r="Q13" s="428" t="s">
        <v>420</v>
      </c>
      <c r="R13" s="428"/>
      <c r="S13" s="428"/>
    </row>
    <row r="14" spans="1:20" ht="15.75" thickBot="1" x14ac:dyDescent="0.3">
      <c r="A14" s="617"/>
      <c r="B14" s="978" t="s">
        <v>359</v>
      </c>
      <c r="C14" s="979"/>
      <c r="D14" s="980"/>
      <c r="E14" s="393"/>
      <c r="F14" s="981">
        <f>IF('B1_Allgemeine Angaben'!D7="tst",KAT!C94,KAT!B94)</f>
        <v>8.5000000000000006E-2</v>
      </c>
      <c r="G14" s="648"/>
      <c r="H14" s="648"/>
      <c r="I14" s="648"/>
      <c r="J14" s="982"/>
      <c r="K14" s="618"/>
      <c r="L14" s="629"/>
      <c r="N14" s="429">
        <f>SUM(C15,C22,C28)</f>
        <v>0</v>
      </c>
      <c r="O14" s="430">
        <f>SUM(C16,C23,C29)</f>
        <v>0</v>
      </c>
      <c r="P14" s="431">
        <f>SUM(C17,C24,C30)</f>
        <v>0</v>
      </c>
      <c r="Q14" s="1442" t="s">
        <v>305</v>
      </c>
      <c r="R14" s="1443"/>
      <c r="S14" s="1444"/>
    </row>
    <row r="15" spans="1:20" ht="15.75" thickTop="1" thickBot="1" x14ac:dyDescent="0.25">
      <c r="A15" s="617"/>
      <c r="B15" s="983" t="s">
        <v>342</v>
      </c>
      <c r="C15" s="984">
        <f>ROUND(IFERROR(C19*C18,0),3)</f>
        <v>0</v>
      </c>
      <c r="D15" s="1157">
        <v>24.35</v>
      </c>
      <c r="E15" s="985">
        <f>ROUND(IFERROR(D15*(100%+$E$14),0),2)</f>
        <v>24.35</v>
      </c>
      <c r="F15" s="632"/>
      <c r="G15" s="619"/>
      <c r="H15" s="619"/>
      <c r="I15" s="619"/>
      <c r="J15" s="629"/>
      <c r="K15" s="618"/>
      <c r="L15" s="629"/>
      <c r="N15" s="926">
        <f>(ROUND(E15*(100%+F14),2)+(E15*$H$12))*(100%+$I$12)*(100%+$J$12)*40*13/3*12*C15</f>
        <v>0</v>
      </c>
      <c r="O15" s="432">
        <f>(ROUND(E16*(100%+F14),2)+(E16*$H$12))*(100%+$I$12)*(100%+$J$12)*C16*40*13/3*12</f>
        <v>0</v>
      </c>
      <c r="P15" s="433">
        <f>(ROUND(E17*(100%+F14),2)+(E17*$H$12))*(100%+$I$12)*(100%+$J$12)*40*13/3*12*C17</f>
        <v>0</v>
      </c>
      <c r="Q15" s="434" t="s">
        <v>421</v>
      </c>
      <c r="R15" s="434"/>
      <c r="S15" s="434"/>
      <c r="T15" s="1173"/>
    </row>
    <row r="16" spans="1:20" x14ac:dyDescent="0.2">
      <c r="A16" s="617"/>
      <c r="B16" s="986" t="s">
        <v>343</v>
      </c>
      <c r="C16" s="1062"/>
      <c r="D16" s="1158">
        <v>19.97</v>
      </c>
      <c r="E16" s="987">
        <f>ROUND(IFERROR(D16*(100%+$E$14),0),2)</f>
        <v>19.97</v>
      </c>
      <c r="F16" s="632"/>
      <c r="G16" s="619"/>
      <c r="H16" s="619"/>
      <c r="I16" s="619"/>
      <c r="J16" s="629"/>
      <c r="K16" s="618"/>
      <c r="L16" s="629"/>
      <c r="N16" s="1172">
        <f>(ROUND(E22*(100%+F21),2)+(E22*$H$12))*(100%+$I$12)*(100%+$J$12)*C22*40*13/3*12</f>
        <v>0</v>
      </c>
      <c r="O16" s="432">
        <f>(ROUND(E23*(100%+F21),2)+(E23*$H$12))*(100%+$I$12)*(100%+$J$12)*40*13/3*12*C23</f>
        <v>0</v>
      </c>
      <c r="P16" s="433">
        <f>(ROUND(E24*(100%+F21),2)+(E24*$H$12))*(100%+$I$12)*(100%+$J$12)*40*13/3*12*C24</f>
        <v>0</v>
      </c>
      <c r="Q16" s="434" t="s">
        <v>422</v>
      </c>
      <c r="R16" s="434"/>
      <c r="S16" s="434"/>
      <c r="T16" s="1173"/>
    </row>
    <row r="17" spans="1:20" ht="26.25" x14ac:dyDescent="0.2">
      <c r="A17" s="617"/>
      <c r="B17" s="988" t="s">
        <v>344</v>
      </c>
      <c r="C17" s="989">
        <f>C19-C15-C16</f>
        <v>0</v>
      </c>
      <c r="D17" s="1159">
        <v>18.72</v>
      </c>
      <c r="E17" s="990">
        <f>ROUND(IFERROR(D17*(100%+$E$14),0),2)</f>
        <v>18.72</v>
      </c>
      <c r="F17" s="632"/>
      <c r="G17" s="619"/>
      <c r="H17" s="619"/>
      <c r="I17" s="619"/>
      <c r="J17" s="629"/>
      <c r="K17" s="618"/>
      <c r="L17" s="629"/>
      <c r="N17" s="926">
        <f>(ROUND(E28*(100%+F27),2)+(E28*$H$12))*(100%+$I$12)*(100%+$J$12)*C28*40*13/3*12</f>
        <v>0</v>
      </c>
      <c r="O17" s="432">
        <f>(ROUND(E29*(100%+F27),2)+(E29*$H$12))*(100%+$I$12)*(100%+$J$12)*40*13/3*12*C29</f>
        <v>0</v>
      </c>
      <c r="P17" s="433">
        <f>(ROUND(E30*(100%+F27),2)+(E30*$H$12))*(100%+$I$12)*(100%+$J$12)*40*13/3*12*C30</f>
        <v>0</v>
      </c>
      <c r="Q17" s="435" t="s">
        <v>423</v>
      </c>
      <c r="R17" s="435"/>
      <c r="S17" s="435"/>
      <c r="T17" s="1173"/>
    </row>
    <row r="18" spans="1:20" ht="15" thickBot="1" x14ac:dyDescent="0.25">
      <c r="A18" s="617"/>
      <c r="B18" s="991" t="s">
        <v>340</v>
      </c>
      <c r="C18" s="992">
        <f>B1_Kalkulation!I26</f>
        <v>0</v>
      </c>
      <c r="D18" s="1160"/>
      <c r="E18" s="993"/>
      <c r="F18" s="993"/>
      <c r="G18" s="619"/>
      <c r="H18" s="619"/>
      <c r="I18" s="619"/>
      <c r="J18" s="994"/>
      <c r="K18" s="618"/>
      <c r="L18" s="629"/>
      <c r="N18" s="436">
        <f>SUM(N15:N17)</f>
        <v>0</v>
      </c>
      <c r="O18" s="437">
        <f>SUM(O15:O17)</f>
        <v>0</v>
      </c>
      <c r="P18" s="438">
        <f>SUM(P15:P17)</f>
        <v>0</v>
      </c>
      <c r="Q18" s="1445" t="s">
        <v>424</v>
      </c>
      <c r="R18" s="1446"/>
      <c r="S18" s="1447"/>
    </row>
    <row r="19" spans="1:20" ht="16.5" thickTop="1" thickBot="1" x14ac:dyDescent="0.3">
      <c r="A19" s="617"/>
      <c r="B19" s="995" t="s">
        <v>341</v>
      </c>
      <c r="C19" s="996">
        <f>B1_Kalkulation!J26</f>
        <v>0</v>
      </c>
      <c r="D19" s="1161"/>
      <c r="E19" s="997">
        <f>IF(C17&lt;0,"Fehler",IFERROR(ROUND((C15*E15+C16*E16+C17*E17)/C19,2),0))</f>
        <v>0</v>
      </c>
      <c r="F19" s="998">
        <f>ROUND(IFERROR(E19*(100%+$F$14),0),2)</f>
        <v>0</v>
      </c>
      <c r="G19" s="1170">
        <f>ROUND(IFERROR(F19*40*13/3*12,0),2)</f>
        <v>0</v>
      </c>
      <c r="H19" s="1170">
        <f>(E19*40*13/3*12*$H$12)+G19</f>
        <v>0</v>
      </c>
      <c r="I19" s="999">
        <f>H19*(100%+$I$12)</f>
        <v>0</v>
      </c>
      <c r="J19" s="1000">
        <f>I19*(100%+$J$12)</f>
        <v>0</v>
      </c>
      <c r="K19" s="618"/>
      <c r="L19" s="629"/>
      <c r="M19" s="439"/>
      <c r="N19" s="1171" t="e">
        <f>N18/N14</f>
        <v>#DIV/0!</v>
      </c>
      <c r="O19" s="1168" t="e">
        <f>O18/O14</f>
        <v>#DIV/0!</v>
      </c>
      <c r="P19" s="440" t="e">
        <f t="shared" ref="P19" si="0">P18/P14</f>
        <v>#DIV/0!</v>
      </c>
      <c r="Q19" s="1448" t="s">
        <v>425</v>
      </c>
      <c r="R19" s="1449"/>
      <c r="S19" s="1450"/>
    </row>
    <row r="20" spans="1:20" ht="15.75" thickTop="1" x14ac:dyDescent="0.25">
      <c r="A20" s="617"/>
      <c r="B20" s="1001"/>
      <c r="C20" s="1002"/>
      <c r="D20" s="1160"/>
      <c r="E20" s="973">
        <f>IF(OR(E21&lt;0%,E21&gt;10.001%),"Fehler",0)</f>
        <v>0</v>
      </c>
      <c r="F20" s="1003"/>
      <c r="G20" s="1169"/>
      <c r="H20" s="619"/>
      <c r="I20" s="619"/>
      <c r="J20" s="1004"/>
      <c r="K20" s="618"/>
      <c r="L20" s="629"/>
      <c r="N20" s="427"/>
      <c r="O20" s="427"/>
      <c r="P20" s="441"/>
      <c r="Q20" s="427"/>
      <c r="R20" s="427"/>
      <c r="S20" s="427"/>
    </row>
    <row r="21" spans="1:20" ht="15.75" thickBot="1" x14ac:dyDescent="0.3">
      <c r="A21" s="617"/>
      <c r="B21" s="1005" t="s">
        <v>140</v>
      </c>
      <c r="C21" s="1006"/>
      <c r="D21" s="1162"/>
      <c r="E21" s="393"/>
      <c r="F21" s="1007">
        <f>IF('B1_Allgemeine Angaben'!D7="tst",KAT!C95,KAT!B95)</f>
        <v>3.6499999999999998E-2</v>
      </c>
      <c r="G21" s="1008"/>
      <c r="H21" s="1008"/>
      <c r="I21" s="1008"/>
      <c r="J21" s="1009"/>
      <c r="K21" s="618"/>
      <c r="L21" s="629"/>
      <c r="N21" s="427"/>
      <c r="O21" s="427"/>
      <c r="P21" s="441"/>
      <c r="Q21" s="427"/>
      <c r="R21" s="427"/>
      <c r="S21" s="427"/>
    </row>
    <row r="22" spans="1:20" ht="15.75" thickTop="1" x14ac:dyDescent="0.25">
      <c r="A22" s="617"/>
      <c r="B22" s="1010" t="s">
        <v>342</v>
      </c>
      <c r="C22" s="1063"/>
      <c r="D22" s="1163">
        <v>24.35</v>
      </c>
      <c r="E22" s="1011">
        <f>ROUND(IFERROR(D22*(100%+$E$21),0),2)</f>
        <v>24.35</v>
      </c>
      <c r="F22" s="1012"/>
      <c r="G22" s="1012"/>
      <c r="H22" s="619"/>
      <c r="I22" s="619"/>
      <c r="J22" s="1013"/>
      <c r="K22" s="618"/>
      <c r="L22" s="629"/>
      <c r="N22" s="427"/>
      <c r="O22" s="427"/>
      <c r="P22" s="442"/>
      <c r="Q22" s="427"/>
      <c r="R22" s="427"/>
      <c r="S22" s="427"/>
    </row>
    <row r="23" spans="1:20" ht="15" x14ac:dyDescent="0.25">
      <c r="A23" s="617"/>
      <c r="B23" s="1014" t="s">
        <v>343</v>
      </c>
      <c r="C23" s="1064"/>
      <c r="D23" s="1164">
        <v>19.97</v>
      </c>
      <c r="E23" s="1011">
        <f>ROUND(IFERROR(D23*(100%+$E$21),0),2)</f>
        <v>19.97</v>
      </c>
      <c r="F23" s="1012"/>
      <c r="G23" s="1012"/>
      <c r="H23" s="619"/>
      <c r="I23" s="619"/>
      <c r="J23" s="1013"/>
      <c r="K23" s="618"/>
      <c r="L23" s="629"/>
      <c r="N23" s="427"/>
      <c r="O23" s="427"/>
      <c r="P23" s="442"/>
      <c r="Q23" s="427"/>
      <c r="R23" s="427"/>
      <c r="S23" s="427"/>
    </row>
    <row r="24" spans="1:20" ht="27" x14ac:dyDescent="0.25">
      <c r="A24" s="617"/>
      <c r="B24" s="1015" t="s">
        <v>344</v>
      </c>
      <c r="C24" s="1016">
        <f>C25-C22-C23</f>
        <v>0</v>
      </c>
      <c r="D24" s="1165">
        <v>18.72</v>
      </c>
      <c r="E24" s="1011">
        <f>ROUND(IFERROR(D24*(100%+$E$21),0),2)</f>
        <v>18.72</v>
      </c>
      <c r="F24" s="1012"/>
      <c r="G24" s="1012"/>
      <c r="H24" s="619"/>
      <c r="I24" s="619"/>
      <c r="J24" s="1017"/>
      <c r="K24" s="618"/>
      <c r="L24" s="629"/>
      <c r="N24" s="427"/>
      <c r="O24" s="427"/>
      <c r="P24" s="427"/>
      <c r="Q24" s="427"/>
      <c r="R24" s="427"/>
      <c r="S24" s="427"/>
    </row>
    <row r="25" spans="1:20" ht="15.75" thickBot="1" x14ac:dyDescent="0.3">
      <c r="A25" s="617"/>
      <c r="B25" s="1018" t="s">
        <v>386</v>
      </c>
      <c r="C25" s="1019">
        <f>B1_Kalkulation!J27</f>
        <v>0</v>
      </c>
      <c r="D25" s="1166"/>
      <c r="E25" s="1020">
        <f>IF(C24&lt;0,"Fehler",ROUND(IFERROR(((E24*C24+C23*E23+E22*C22)/C25),0),2))</f>
        <v>0</v>
      </c>
      <c r="F25" s="998">
        <f>ROUND(IFERROR(E25*(100%+$F$21),0),2)</f>
        <v>0</v>
      </c>
      <c r="G25" s="998">
        <f>ROUND(IFERROR(F25*40*13/3*12,0),2)</f>
        <v>0</v>
      </c>
      <c r="H25" s="998">
        <f>(E25*40*13/3*12*$H$12)+G25</f>
        <v>0</v>
      </c>
      <c r="I25" s="999">
        <f>H25*(100%+$I$12)</f>
        <v>0</v>
      </c>
      <c r="J25" s="1021">
        <f>I25*(100%+$J$12)</f>
        <v>0</v>
      </c>
      <c r="K25" s="618"/>
      <c r="L25" s="629"/>
      <c r="N25" s="427"/>
      <c r="O25" s="427"/>
      <c r="P25" s="427"/>
      <c r="Q25" s="427"/>
      <c r="R25" s="427"/>
      <c r="S25" s="427"/>
    </row>
    <row r="26" spans="1:20" ht="15.75" thickTop="1" x14ac:dyDescent="0.25">
      <c r="A26" s="617"/>
      <c r="B26" s="1022"/>
      <c r="C26" s="1023"/>
      <c r="D26" s="1160"/>
      <c r="E26" s="973">
        <f>IF(OR(E27&lt;0%,E27&gt;10.001%),"Fehler",0)</f>
        <v>0</v>
      </c>
      <c r="F26" s="619"/>
      <c r="G26" s="619"/>
      <c r="H26" s="619"/>
      <c r="I26" s="619"/>
      <c r="J26" s="658"/>
      <c r="K26" s="618"/>
      <c r="L26" s="629"/>
      <c r="N26" s="443"/>
      <c r="O26" s="444"/>
      <c r="P26" s="445"/>
      <c r="Q26" s="427"/>
      <c r="R26" s="427"/>
      <c r="S26" s="427"/>
    </row>
    <row r="27" spans="1:20" ht="15" x14ac:dyDescent="0.25">
      <c r="A27" s="617"/>
      <c r="B27" s="1024" t="s">
        <v>336</v>
      </c>
      <c r="C27" s="1006"/>
      <c r="D27" s="1167"/>
      <c r="E27" s="393"/>
      <c r="F27" s="1007">
        <f>IF('B1_Allgemeine Angaben'!D7="tst",KAT!C96,KAT!B96)</f>
        <v>4.1500000000000002E-2</v>
      </c>
      <c r="G27" s="1008"/>
      <c r="H27" s="1008"/>
      <c r="I27" s="1008"/>
      <c r="J27" s="1009"/>
      <c r="K27" s="618"/>
      <c r="L27" s="629"/>
      <c r="N27" s="443"/>
      <c r="O27" s="444"/>
      <c r="P27" s="445"/>
      <c r="Q27" s="427"/>
      <c r="R27" s="427"/>
      <c r="S27" s="427"/>
    </row>
    <row r="28" spans="1:20" ht="15" x14ac:dyDescent="0.25">
      <c r="A28" s="617"/>
      <c r="B28" s="1010" t="s">
        <v>342</v>
      </c>
      <c r="C28" s="1063"/>
      <c r="D28" s="1163">
        <v>24.35</v>
      </c>
      <c r="E28" s="990">
        <f>ROUND(IFERROR(D28*(100%+$E$27),0),2)</f>
        <v>24.35</v>
      </c>
      <c r="F28" s="632"/>
      <c r="G28" s="619"/>
      <c r="H28" s="619"/>
      <c r="I28" s="619"/>
      <c r="J28" s="1013"/>
      <c r="K28" s="618"/>
      <c r="L28" s="629"/>
      <c r="N28" s="427"/>
      <c r="O28" s="441"/>
      <c r="P28" s="427"/>
      <c r="Q28" s="427"/>
      <c r="R28" s="427"/>
      <c r="S28" s="427"/>
    </row>
    <row r="29" spans="1:20" ht="15" x14ac:dyDescent="0.25">
      <c r="A29" s="617"/>
      <c r="B29" s="1014" t="s">
        <v>343</v>
      </c>
      <c r="C29" s="1064"/>
      <c r="D29" s="1164">
        <v>19.97</v>
      </c>
      <c r="E29" s="1025">
        <f>ROUND(IFERROR(D29*(100%+$E$27),0),2)</f>
        <v>19.97</v>
      </c>
      <c r="F29" s="632"/>
      <c r="G29" s="619"/>
      <c r="H29" s="619"/>
      <c r="I29" s="619"/>
      <c r="J29" s="1013"/>
      <c r="K29" s="618"/>
      <c r="L29" s="629"/>
      <c r="N29" s="427"/>
      <c r="O29" s="427"/>
      <c r="P29" s="427"/>
      <c r="Q29" s="427"/>
      <c r="R29" s="427"/>
      <c r="S29" s="427"/>
    </row>
    <row r="30" spans="1:20" ht="27" x14ac:dyDescent="0.25">
      <c r="A30" s="617"/>
      <c r="B30" s="1015" t="s">
        <v>344</v>
      </c>
      <c r="C30" s="1016">
        <f>C31-C28-C29</f>
        <v>0</v>
      </c>
      <c r="D30" s="1165">
        <v>18.72</v>
      </c>
      <c r="E30" s="1026">
        <f>ROUND(IFERROR(D30*(100%+$E$27),0),2)</f>
        <v>18.72</v>
      </c>
      <c r="F30" s="1027"/>
      <c r="G30" s="993"/>
      <c r="H30" s="993"/>
      <c r="I30" s="993"/>
      <c r="J30" s="1017"/>
      <c r="K30" s="618"/>
      <c r="L30" s="629"/>
      <c r="N30" s="427"/>
      <c r="O30" s="427"/>
      <c r="P30" s="427"/>
      <c r="Q30" s="427"/>
      <c r="R30" s="427"/>
      <c r="S30" s="427"/>
    </row>
    <row r="31" spans="1:20" ht="15.75" thickBot="1" x14ac:dyDescent="0.3">
      <c r="A31" s="617"/>
      <c r="B31" s="1018" t="s">
        <v>387</v>
      </c>
      <c r="C31" s="1019">
        <f>IFERROR(B1_Kalkulation!J33,0)</f>
        <v>0</v>
      </c>
      <c r="D31" s="1028"/>
      <c r="E31" s="1020">
        <f>IF(C30&lt;0,"Fehler",ROUND(IFERROR(((E30*C30+C29*E29+E28*C28)/C31),0),2))</f>
        <v>0</v>
      </c>
      <c r="F31" s="1029">
        <f>ROUND(IFERROR(E31*(100%+$F$27),0),2)</f>
        <v>0</v>
      </c>
      <c r="G31" s="998">
        <f>ROUND(IFERROR(F31*40*13/3*12,0),2)</f>
        <v>0</v>
      </c>
      <c r="H31" s="998">
        <f>(E31*40*13/3*12*$H$12)+G31</f>
        <v>0</v>
      </c>
      <c r="I31" s="1030">
        <f>H31*(100%+$I$12)</f>
        <v>0</v>
      </c>
      <c r="J31" s="1031">
        <f>I31*(100%+$J$12)</f>
        <v>0</v>
      </c>
      <c r="K31" s="618"/>
      <c r="L31" s="629"/>
      <c r="N31" s="427"/>
      <c r="O31" s="427"/>
      <c r="P31" s="427"/>
      <c r="Q31" s="427"/>
      <c r="R31" s="427"/>
      <c r="S31" s="427"/>
    </row>
    <row r="32" spans="1:20" ht="15" thickTop="1" x14ac:dyDescent="0.2">
      <c r="A32" s="617"/>
      <c r="B32" s="1022"/>
      <c r="C32" s="1023"/>
      <c r="D32" s="618"/>
      <c r="E32" s="618"/>
      <c r="F32" s="618"/>
      <c r="G32" s="618"/>
      <c r="H32" s="618"/>
      <c r="I32" s="618"/>
      <c r="J32" s="618"/>
      <c r="K32" s="618"/>
      <c r="L32" s="629"/>
      <c r="N32" s="427"/>
      <c r="O32" s="427"/>
      <c r="P32" s="427"/>
      <c r="Q32" s="427"/>
      <c r="R32" s="427"/>
      <c r="S32" s="427"/>
    </row>
    <row r="33" spans="1:23" x14ac:dyDescent="0.2">
      <c r="A33" s="617"/>
      <c r="B33" s="618"/>
      <c r="C33" s="618"/>
      <c r="D33" s="618"/>
      <c r="E33" s="618"/>
      <c r="F33" s="618"/>
      <c r="G33" s="618"/>
      <c r="H33" s="618"/>
      <c r="I33" s="618"/>
      <c r="J33" s="618"/>
      <c r="K33" s="618"/>
      <c r="L33" s="629"/>
      <c r="N33" s="427"/>
      <c r="O33" s="427"/>
      <c r="P33" s="427"/>
      <c r="Q33" s="427"/>
      <c r="R33" s="427"/>
      <c r="S33" s="427"/>
    </row>
    <row r="34" spans="1:23" x14ac:dyDescent="0.2">
      <c r="A34" s="617"/>
      <c r="B34" s="1032" t="s">
        <v>408</v>
      </c>
      <c r="C34" s="618"/>
      <c r="D34" s="618"/>
      <c r="E34" s="1033"/>
      <c r="F34" s="618"/>
      <c r="G34" s="618"/>
      <c r="H34" s="618"/>
      <c r="I34" s="618"/>
      <c r="J34" s="618"/>
      <c r="K34" s="618"/>
      <c r="L34" s="629"/>
      <c r="N34" s="427"/>
      <c r="O34" s="427"/>
      <c r="P34" s="427"/>
      <c r="Q34" s="427"/>
      <c r="R34" s="427"/>
      <c r="S34" s="427"/>
    </row>
    <row r="35" spans="1:23" s="252" customFormat="1" ht="15" thickBot="1" x14ac:dyDescent="0.25">
      <c r="A35" s="617"/>
      <c r="B35" s="1034"/>
      <c r="C35" s="626"/>
      <c r="D35" s="626"/>
      <c r="E35" s="626"/>
      <c r="F35" s="626"/>
      <c r="G35" s="626"/>
      <c r="H35" s="618"/>
      <c r="I35" s="618"/>
      <c r="J35" s="618"/>
      <c r="K35" s="618"/>
      <c r="L35" s="629"/>
      <c r="N35" s="427"/>
      <c r="O35" s="427"/>
      <c r="P35" s="427"/>
      <c r="Q35" s="427"/>
      <c r="R35" s="427"/>
      <c r="S35" s="427"/>
    </row>
    <row r="36" spans="1:23" s="252" customFormat="1" x14ac:dyDescent="0.2">
      <c r="A36" s="617"/>
      <c r="B36" s="1434" t="s">
        <v>409</v>
      </c>
      <c r="C36" s="1035" t="s">
        <v>407</v>
      </c>
      <c r="D36" s="1035" t="s">
        <v>405</v>
      </c>
      <c r="E36" s="1036" t="s">
        <v>406</v>
      </c>
      <c r="F36" s="626"/>
      <c r="G36" s="626"/>
      <c r="H36" s="1037"/>
      <c r="I36" s="618"/>
      <c r="J36" s="618"/>
      <c r="K36" s="618"/>
      <c r="L36" s="629"/>
      <c r="N36" s="427"/>
      <c r="O36" s="427"/>
      <c r="P36" s="427"/>
      <c r="Q36" s="427"/>
      <c r="R36" s="427"/>
      <c r="S36" s="427"/>
    </row>
    <row r="37" spans="1:23" s="252" customFormat="1" ht="26.25" thickBot="1" x14ac:dyDescent="0.25">
      <c r="A37" s="617"/>
      <c r="B37" s="1435"/>
      <c r="C37" s="1038" t="s">
        <v>410</v>
      </c>
      <c r="D37" s="1039" t="s">
        <v>411</v>
      </c>
      <c r="E37" s="1040" t="s">
        <v>412</v>
      </c>
      <c r="F37" s="626"/>
      <c r="G37" s="626"/>
      <c r="H37" s="618"/>
      <c r="I37" s="618"/>
      <c r="J37" s="618"/>
      <c r="K37" s="618"/>
      <c r="L37" s="629"/>
      <c r="N37" s="427"/>
      <c r="O37" s="427"/>
      <c r="P37" s="427"/>
      <c r="Q37" s="427"/>
      <c r="R37" s="427"/>
      <c r="S37" s="427"/>
    </row>
    <row r="38" spans="1:23" s="252" customFormat="1" x14ac:dyDescent="0.2">
      <c r="A38" s="617"/>
      <c r="B38" s="1034"/>
      <c r="C38" s="1451"/>
      <c r="D38" s="1451"/>
      <c r="E38" s="1451"/>
      <c r="F38" s="1451"/>
      <c r="G38" s="1130"/>
      <c r="H38" s="618"/>
      <c r="I38" s="618"/>
      <c r="J38" s="618"/>
      <c r="K38" s="618"/>
      <c r="L38" s="629"/>
      <c r="N38" s="427"/>
      <c r="O38" s="427"/>
      <c r="P38" s="427"/>
      <c r="Q38" s="427"/>
      <c r="R38" s="427"/>
      <c r="S38" s="427"/>
    </row>
    <row r="39" spans="1:23" s="252" customFormat="1" x14ac:dyDescent="0.2">
      <c r="A39" s="1041"/>
      <c r="B39" s="1042" t="s">
        <v>413</v>
      </c>
      <c r="C39" s="1043">
        <f>IFERROR(((E22*C22+E28*C28+C15*E15)*40*13/3)/SUM(C15,C22,C28),0)</f>
        <v>0</v>
      </c>
      <c r="D39" s="1043">
        <f>IFERROR(((E23*C23+E29*C29+E16*C16)*40*13/3)/SUM(C16,C23,C29),0)</f>
        <v>0</v>
      </c>
      <c r="E39" s="1043">
        <f>IFERROR(((C17*E17+E24*C24+E30*C30)*40*13/3)/SUM(C17,C24,C30),0)</f>
        <v>0</v>
      </c>
      <c r="F39" s="1044"/>
      <c r="G39" s="626"/>
      <c r="H39" s="618"/>
      <c r="I39" s="618"/>
      <c r="J39" s="618"/>
      <c r="K39" s="618"/>
      <c r="L39" s="629"/>
      <c r="N39" s="427"/>
      <c r="O39" s="427"/>
      <c r="P39" s="427"/>
      <c r="Q39" s="427"/>
      <c r="R39" s="427"/>
      <c r="S39" s="427"/>
    </row>
    <row r="40" spans="1:23" ht="15" thickBot="1" x14ac:dyDescent="0.25">
      <c r="A40" s="1041"/>
      <c r="B40" s="1045" t="s">
        <v>414</v>
      </c>
      <c r="C40" s="1046">
        <f>40*13/3</f>
        <v>173.33333333333334</v>
      </c>
      <c r="D40" s="1046">
        <f t="shared" ref="D40:E40" si="1">40*13/3</f>
        <v>173.33333333333334</v>
      </c>
      <c r="E40" s="1046">
        <f t="shared" si="1"/>
        <v>173.33333333333334</v>
      </c>
      <c r="F40" s="3"/>
      <c r="G40" s="3"/>
      <c r="H40" s="3"/>
      <c r="I40" s="3"/>
      <c r="J40" s="3"/>
      <c r="K40" s="3"/>
      <c r="L40" s="4"/>
      <c r="N40" s="427"/>
      <c r="O40" s="427"/>
      <c r="P40" s="427"/>
      <c r="Q40" s="427"/>
      <c r="R40" s="427"/>
      <c r="S40" s="427"/>
    </row>
    <row r="41" spans="1:23" ht="15" thickBot="1" x14ac:dyDescent="0.25">
      <c r="A41" s="2"/>
      <c r="B41" s="1047" t="s">
        <v>426</v>
      </c>
      <c r="C41" s="1048">
        <f>C39/C40</f>
        <v>0</v>
      </c>
      <c r="D41" s="1049">
        <f t="shared" ref="D41:E41" si="2">D39/D40</f>
        <v>0</v>
      </c>
      <c r="E41" s="1050">
        <f t="shared" si="2"/>
        <v>0</v>
      </c>
      <c r="F41" s="3"/>
      <c r="G41" s="3"/>
      <c r="H41" s="3"/>
      <c r="I41" s="3"/>
      <c r="J41" s="3"/>
      <c r="K41" s="3"/>
      <c r="L41" s="4"/>
      <c r="N41" s="427"/>
      <c r="O41" s="427"/>
      <c r="P41" s="427"/>
      <c r="Q41" s="427"/>
      <c r="R41" s="427"/>
      <c r="S41" s="427"/>
    </row>
    <row r="42" spans="1:23" x14ac:dyDescent="0.2">
      <c r="A42" s="2"/>
      <c r="B42" s="3"/>
      <c r="C42" s="3"/>
      <c r="D42" s="3"/>
      <c r="E42" s="3"/>
      <c r="F42" s="3"/>
      <c r="G42" s="3"/>
      <c r="H42" s="3"/>
      <c r="I42" s="3"/>
      <c r="J42" s="3"/>
      <c r="K42" s="3"/>
      <c r="L42" s="4"/>
      <c r="N42" s="427"/>
      <c r="O42" s="427"/>
      <c r="P42" s="427"/>
      <c r="Q42" s="427"/>
      <c r="R42" s="427"/>
      <c r="S42" s="427"/>
    </row>
    <row r="43" spans="1:23" x14ac:dyDescent="0.2">
      <c r="A43" s="2"/>
      <c r="B43" s="1051" t="s">
        <v>305</v>
      </c>
      <c r="C43" s="1052">
        <f>SUM(C28,C22,C15)-B1_Kalkulation!D25</f>
        <v>0</v>
      </c>
      <c r="D43" s="1052">
        <f>SUM(C29,C23,C16)</f>
        <v>0</v>
      </c>
      <c r="E43" s="1052">
        <f>SUM(C30,C17,C24)</f>
        <v>0</v>
      </c>
      <c r="F43" s="3"/>
      <c r="G43" s="3"/>
      <c r="H43" s="3"/>
      <c r="I43" s="3"/>
      <c r="J43" s="3"/>
      <c r="K43" s="3"/>
      <c r="L43" s="4"/>
      <c r="N43" s="427"/>
      <c r="O43" s="427"/>
      <c r="P43" s="427"/>
      <c r="Q43" s="427"/>
      <c r="R43" s="427"/>
      <c r="S43" s="427"/>
    </row>
    <row r="44" spans="1:23" ht="15" thickBot="1" x14ac:dyDescent="0.25">
      <c r="A44" s="2"/>
      <c r="B44" s="1045" t="s">
        <v>415</v>
      </c>
      <c r="C44" s="1430">
        <f>IFERROR(SUM(C43:E43),0)</f>
        <v>0</v>
      </c>
      <c r="D44" s="1430"/>
      <c r="E44" s="1430"/>
      <c r="F44" s="3"/>
      <c r="G44" s="3"/>
      <c r="H44" s="3"/>
      <c r="I44" s="3"/>
      <c r="J44" s="3"/>
      <c r="K44" s="3"/>
      <c r="L44" s="4"/>
      <c r="N44" s="427"/>
      <c r="O44" s="427"/>
      <c r="P44" s="427"/>
      <c r="Q44" s="427"/>
      <c r="R44" s="427"/>
      <c r="S44" s="427"/>
    </row>
    <row r="45" spans="1:23" ht="15" thickBot="1" x14ac:dyDescent="0.25">
      <c r="A45" s="2"/>
      <c r="B45" s="1053" t="s">
        <v>416</v>
      </c>
      <c r="C45" s="1054">
        <f>IFERROR(C43/C44,0)</f>
        <v>0</v>
      </c>
      <c r="D45" s="1055">
        <f>IFERROR(D43/C44,0)</f>
        <v>0</v>
      </c>
      <c r="E45" s="1056">
        <f>IFERROR(E43/C44,0)</f>
        <v>0</v>
      </c>
      <c r="F45" s="3"/>
      <c r="G45" s="3"/>
      <c r="H45" s="3"/>
      <c r="I45" s="3"/>
      <c r="J45" s="3"/>
      <c r="K45" s="3"/>
      <c r="L45" s="4"/>
      <c r="N45" s="427"/>
      <c r="O45" s="427"/>
      <c r="P45" s="427"/>
      <c r="Q45" s="427"/>
      <c r="R45" s="427"/>
      <c r="S45" s="427"/>
    </row>
    <row r="46" spans="1:23" ht="15" thickBot="1" x14ac:dyDescent="0.25">
      <c r="A46" s="2"/>
      <c r="B46" s="3"/>
      <c r="C46" s="3"/>
      <c r="D46" s="3"/>
      <c r="E46" s="3"/>
      <c r="F46" s="3"/>
      <c r="G46" s="3"/>
      <c r="H46" s="3"/>
      <c r="I46" s="3"/>
      <c r="J46" s="3"/>
      <c r="K46" s="3"/>
      <c r="L46" s="4"/>
      <c r="N46" s="427"/>
      <c r="O46" s="427"/>
      <c r="P46" s="427"/>
      <c r="Q46" s="427"/>
      <c r="R46" s="427"/>
      <c r="S46" s="427"/>
    </row>
    <row r="47" spans="1:23" ht="15.75" thickBot="1" x14ac:dyDescent="0.3">
      <c r="A47" s="2"/>
      <c r="B47" s="1057" t="s">
        <v>417</v>
      </c>
      <c r="C47" s="1431">
        <f>IFERROR(C45*C41+D41*D45+E41*E45,0)</f>
        <v>0</v>
      </c>
      <c r="D47" s="1432"/>
      <c r="E47" s="1433"/>
      <c r="F47" s="1058" t="str">
        <f>IF(C47&gt;21.55*110%,"Forderung liegt über 10% des regional üblichen Entgeltes.","")</f>
        <v/>
      </c>
      <c r="G47" s="618"/>
      <c r="H47" s="3"/>
      <c r="I47" s="3"/>
      <c r="J47" s="3"/>
      <c r="K47" s="3"/>
      <c r="L47" s="4"/>
    </row>
    <row r="48" spans="1:23" ht="15.75" thickBot="1" x14ac:dyDescent="0.3">
      <c r="A48" s="2"/>
      <c r="B48" s="1190"/>
      <c r="C48" s="1438"/>
      <c r="D48" s="1438"/>
      <c r="E48" s="1438"/>
      <c r="F48" s="618"/>
      <c r="G48" s="618"/>
      <c r="H48" s="3"/>
      <c r="I48" s="3"/>
      <c r="J48" s="3"/>
      <c r="K48" s="3"/>
      <c r="L48" s="1059"/>
      <c r="N48" s="1199" t="s">
        <v>1038</v>
      </c>
      <c r="O48" s="1199" t="s">
        <v>1039</v>
      </c>
      <c r="P48" s="1199" t="s">
        <v>1040</v>
      </c>
      <c r="Q48" s="1199" t="s">
        <v>1041</v>
      </c>
      <c r="R48" s="1199" t="s">
        <v>1042</v>
      </c>
      <c r="S48" s="1199" t="s">
        <v>1043</v>
      </c>
      <c r="T48" s="1199" t="s">
        <v>1044</v>
      </c>
      <c r="U48" s="1199" t="s">
        <v>1045</v>
      </c>
      <c r="V48" s="1199" t="s">
        <v>1046</v>
      </c>
      <c r="W48" s="1199" t="s">
        <v>1047</v>
      </c>
    </row>
    <row r="49" spans="1:23" x14ac:dyDescent="0.2">
      <c r="A49" s="35"/>
      <c r="B49" s="1060" t="s">
        <v>418</v>
      </c>
      <c r="C49" s="1061">
        <f>IFERROR(N19,0)</f>
        <v>0</v>
      </c>
      <c r="D49" s="1061">
        <f>IFERROR(O19,0)</f>
        <v>0</v>
      </c>
      <c r="E49" s="1061">
        <f>IFERROR(P19,0)</f>
        <v>0</v>
      </c>
      <c r="F49" s="35"/>
      <c r="G49" s="36"/>
      <c r="H49" s="36"/>
      <c r="I49" s="36"/>
      <c r="J49" s="36"/>
      <c r="K49" s="36"/>
      <c r="L49" s="447"/>
      <c r="N49" s="1200">
        <f>C41</f>
        <v>0</v>
      </c>
      <c r="O49" s="1200">
        <f>D41</f>
        <v>0</v>
      </c>
      <c r="P49" s="1200">
        <f>E41</f>
        <v>0</v>
      </c>
      <c r="Q49" s="1201">
        <f>C47</f>
        <v>0</v>
      </c>
      <c r="R49" s="1202">
        <f>C43</f>
        <v>0</v>
      </c>
      <c r="S49" s="1202">
        <f>D43</f>
        <v>0</v>
      </c>
      <c r="T49" s="1202">
        <f>E43</f>
        <v>0</v>
      </c>
      <c r="U49" s="1203">
        <f>C49</f>
        <v>0</v>
      </c>
      <c r="V49" s="1203">
        <f>D49</f>
        <v>0</v>
      </c>
      <c r="W49" s="1203">
        <f>E49</f>
        <v>0</v>
      </c>
    </row>
    <row r="50" spans="1:23" ht="15" thickBot="1" x14ac:dyDescent="0.25"/>
    <row r="51" spans="1:23" ht="15" customHeight="1" thickBot="1" x14ac:dyDescent="0.25">
      <c r="D51" s="1356" t="s">
        <v>486</v>
      </c>
      <c r="E51" s="1357"/>
      <c r="F51" s="1357"/>
      <c r="G51" s="1357"/>
      <c r="H51" s="1357"/>
      <c r="I51" s="1358"/>
    </row>
  </sheetData>
  <sheetProtection algorithmName="SHA-512" hashValue="Jo8IMa7FEKtt0UGFRjyJIoxMB8bE4xVQoefzGocnd7MudX84u6JvONRCNS+TxUSekWwktwofyClR/+HzJKqBYQ==" saltValue="XRsNwQJ66/W9ECQyz1NrJA==" spinCount="100000" sheet="1" objects="1" scenarios="1"/>
  <customSheetViews>
    <customSheetView guid="{9119B1A0-FD79-4FE4-B78E-10E0AEB8080B}" showPageBreaks="1" showGridLines="0" fitToPage="1" printArea="1" hiddenColumns="1" view="pageLayout" topLeftCell="I38">
      <selection activeCell="I7" sqref="I7"/>
      <pageMargins left="0.70866141732283472" right="0.70866141732283472" top="0.78740157480314965" bottom="0.78740157480314965" header="0.31496062992125984" footer="0.31496062992125984"/>
      <pageSetup paperSize="9" scale="60" orientation="landscape" r:id="rId1"/>
      <headerFooter>
        <oddHeader>&amp;CSeite 3</oddHeader>
        <oddFooter>&amp;LVersion: 21.06.2022&amp;CVerhandlungsunterlagen SGB XI (vereinfacht B1)&amp;RPSK-Beschluss Nr. 3-2022 vom 21.06.2022</oddFooter>
      </headerFooter>
    </customSheetView>
  </customSheetViews>
  <mergeCells count="16">
    <mergeCell ref="N11:P11"/>
    <mergeCell ref="Q14:S14"/>
    <mergeCell ref="Q18:S18"/>
    <mergeCell ref="Q19:S19"/>
    <mergeCell ref="C38:D38"/>
    <mergeCell ref="E38:F38"/>
    <mergeCell ref="C11:C12"/>
    <mergeCell ref="A1:K1"/>
    <mergeCell ref="B2:L2"/>
    <mergeCell ref="D51:I51"/>
    <mergeCell ref="C44:E44"/>
    <mergeCell ref="C47:E47"/>
    <mergeCell ref="B36:B37"/>
    <mergeCell ref="B11:B12"/>
    <mergeCell ref="C48:E48"/>
    <mergeCell ref="G11:G12"/>
  </mergeCells>
  <phoneticPr fontId="69" type="noConversion"/>
  <conditionalFormatting sqref="E13">
    <cfRule type="cellIs" dxfId="45" priority="11" operator="equal">
      <formula>0</formula>
    </cfRule>
  </conditionalFormatting>
  <conditionalFormatting sqref="E20">
    <cfRule type="cellIs" dxfId="43" priority="8" operator="equal">
      <formula>0</formula>
    </cfRule>
  </conditionalFormatting>
  <conditionalFormatting sqref="E26">
    <cfRule type="cellIs" dxfId="41" priority="7" operator="equal">
      <formula>0</formula>
    </cfRule>
  </conditionalFormatting>
  <dataValidations xWindow="1013" yWindow="340" count="2">
    <dataValidation type="custom" allowBlank="1" showInputMessage="1" showErrorMessage="1" sqref="E20 E26 E13" xr:uid="{00000000-0002-0000-0400-000000000000}">
      <formula1>E13&lt;10.0001%</formula1>
    </dataValidation>
    <dataValidation type="custom" allowBlank="1" showInputMessage="1" showErrorMessage="1" sqref="E21 E14 E27" xr:uid="{00000000-0002-0000-0400-000001000000}">
      <formula1>E14&lt;10.001%</formula1>
    </dataValidation>
  </dataValidations>
  <hyperlinks>
    <hyperlink ref="D51" location="'Anlage 1'!A1" display="Anlage 1" xr:uid="{00000000-0004-0000-0400-000000000000}"/>
    <hyperlink ref="D51:I51" location="B1_Gesamtkalkulation!A1" display="gehe weiter zu B1_Gesamtkalkulation" xr:uid="{00000000-0004-0000-0400-000001000000}"/>
  </hyperlinks>
  <pageMargins left="0.70866141732283472" right="0.70866141732283472" top="0.78740157480314965" bottom="0.78740157480314965" header="0.31496062992125984" footer="0.31496062992125984"/>
  <pageSetup paperSize="9" scale="59" orientation="landscape"/>
  <headerFooter>
    <oddHeader>&amp;CSeite 3</oddHeader>
    <oddFooter>&amp;LVersion: 25.11.2024&amp;CVerhandlungsunterlagen SGB XI (vereinfacht B1)&amp;RPSK-Beschluss vom 07.11.2024</oddFooter>
  </headerFooter>
  <extLst>
    <ext xmlns:x14="http://schemas.microsoft.com/office/spreadsheetml/2009/9/main" uri="{78C0D931-6437-407d-A8EE-F0AAD7539E65}">
      <x14:conditionalFormattings>
        <x14:conditionalFormatting xmlns:xm="http://schemas.microsoft.com/office/excel/2006/main">
          <x14:cfRule type="expression" priority="3" id="{1568F54A-2D44-41CF-B014-EB84B86D9596}">
            <xm:f>KAT!$A$160="nein"</xm:f>
            <x14:dxf>
              <fill>
                <patternFill>
                  <bgColor theme="0"/>
                </patternFill>
              </fill>
            </x14:dxf>
          </x14:cfRule>
          <xm:sqref>E13</xm:sqref>
        </x14:conditionalFormatting>
        <x14:conditionalFormatting xmlns:xm="http://schemas.microsoft.com/office/excel/2006/main">
          <x14:cfRule type="expression" priority="2" id="{A29428F3-34B4-4507-8C09-E1A6D897C503}">
            <xm:f>KAT!$A$160="nein"</xm:f>
            <x14:dxf>
              <fill>
                <patternFill>
                  <bgColor theme="0"/>
                </patternFill>
              </fill>
            </x14:dxf>
          </x14:cfRule>
          <xm:sqref>E20</xm:sqref>
        </x14:conditionalFormatting>
        <x14:conditionalFormatting xmlns:xm="http://schemas.microsoft.com/office/excel/2006/main">
          <x14:cfRule type="expression" priority="1" id="{0615D802-9CB4-45BF-80E2-DB969D99AB0C}">
            <xm:f>KAT!$A$160="nein"</xm:f>
            <x14:dxf>
              <fill>
                <patternFill>
                  <bgColor theme="0"/>
                </patternFill>
              </fill>
            </x14:dxf>
          </x14:cfRule>
          <xm:sqref>E26</xm:sqref>
        </x14:conditionalFormatting>
        <x14:conditionalFormatting xmlns:xm="http://schemas.microsoft.com/office/excel/2006/main">
          <x14:cfRule type="expression" priority="4" id="{5EE59F31-C23F-4B6F-B680-19FA1B8F0642}">
            <xm:f>KAT!$A$160="nein"</xm:f>
            <x14:dxf>
              <fill>
                <patternFill>
                  <bgColor theme="0"/>
                </patternFill>
              </fill>
            </x14:dxf>
          </x14:cfRule>
          <xm:sqref>F47</xm:sqref>
        </x14:conditionalFormatting>
      </x14:conditionalFormattings>
    </ext>
    <ext xmlns:x14="http://schemas.microsoft.com/office/spreadsheetml/2009/9/main" uri="{CCE6A557-97BC-4b89-ADB6-D9C93CAAB3DF}">
      <x14:dataValidations xmlns:xm="http://schemas.microsoft.com/office/excel/2006/main" xWindow="1013" yWindow="340" count="2">
        <x14:dataValidation type="list" allowBlank="1" showInputMessage="1" showErrorMessage="1" prompt="SV Beitrag ohne U1 Teilnahme = 20,335%_x000a_SV Beitrag mit U1 Teilnahme = 21,105 % " xr:uid="{00000000-0002-0000-0400-000003000000}">
          <x14:formula1>
            <xm:f>KAT!#REF!</xm:f>
          </x14:formula1>
          <xm:sqref>H13</xm:sqref>
        </x14:dataValidation>
        <x14:dataValidation type="list" allowBlank="1" showInputMessage="1" showErrorMessage="1" prompt="SV Beitrag ohne U1 Teilnahme = 21,200 %_x000a_SV Beitrag mit U1 Teilnahme = 23,350 % " xr:uid="{00000000-0002-0000-0400-000004000000}">
          <x14:formula1>
            <xm:f>KAT!$C$108:$C$109</xm:f>
          </x14:formula1>
          <xm:sqref>H12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1:AO59"/>
  <sheetViews>
    <sheetView showGridLines="0" zoomScaleNormal="100" workbookViewId="0">
      <selection sqref="A1:W1"/>
    </sheetView>
  </sheetViews>
  <sheetFormatPr baseColWidth="10" defaultRowHeight="14.25" x14ac:dyDescent="0.2"/>
  <cols>
    <col min="1" max="1" width="2.125" style="3" customWidth="1"/>
    <col min="2" max="2" width="5.625" style="3" customWidth="1"/>
    <col min="3" max="3" width="34.25" style="3" customWidth="1"/>
    <col min="4" max="4" width="16.625" style="3" customWidth="1"/>
    <col min="5" max="5" width="13.625" style="3" hidden="1" customWidth="1"/>
    <col min="6" max="6" width="11.625" style="3" hidden="1" customWidth="1"/>
    <col min="7" max="7" width="12.625" style="3" hidden="1" customWidth="1"/>
    <col min="8" max="8" width="13.625" style="3" customWidth="1"/>
    <col min="9" max="9" width="12.625" style="11" hidden="1" customWidth="1"/>
    <col min="10" max="10" width="13.625" style="3" customWidth="1"/>
    <col min="11" max="11" width="12.625" style="11" hidden="1" customWidth="1"/>
    <col min="12" max="12" width="13.625" style="3" customWidth="1"/>
    <col min="13" max="13" width="12.625" style="3" hidden="1" customWidth="1"/>
    <col min="14" max="14" width="13.625" style="3" customWidth="1"/>
    <col min="15" max="15" width="12.625" style="3" hidden="1" customWidth="1"/>
    <col min="16" max="16" width="13.625" style="3" customWidth="1"/>
    <col min="17" max="17" width="12.625" style="11" hidden="1" customWidth="1"/>
    <col min="18" max="18" width="13.625" style="3" customWidth="1"/>
    <col min="19" max="19" width="12.625" style="3" hidden="1" customWidth="1"/>
    <col min="20" max="20" width="13.625" style="3" customWidth="1"/>
    <col min="21" max="21" width="12.625" style="3" hidden="1" customWidth="1"/>
    <col min="22" max="22" width="13.625" style="3" customWidth="1"/>
    <col min="23" max="23" width="2.125" style="3" customWidth="1"/>
    <col min="24" max="42" width="11" style="3" customWidth="1"/>
    <col min="43" max="16384" width="11" style="3"/>
  </cols>
  <sheetData>
    <row r="1" spans="1:27" ht="30.75" customHeight="1" x14ac:dyDescent="0.25">
      <c r="A1" s="1337" t="str">
        <f>'B1_Allgemeine Angaben'!A1:N1</f>
        <v>Vereinfachtes Verfahren der Aufforderung zum Abschluss einer Pflegesatzvereinbarung gemäß § 84, 85 SGB XI mit Orientierung auf das regional übliche Entgeltniveau (Stand 31.10.2024)</v>
      </c>
      <c r="B1" s="1338"/>
      <c r="C1" s="1338"/>
      <c r="D1" s="1338"/>
      <c r="E1" s="1338"/>
      <c r="F1" s="1338"/>
      <c r="G1" s="1338"/>
      <c r="H1" s="1338"/>
      <c r="I1" s="1452"/>
      <c r="J1" s="1452"/>
      <c r="K1" s="1452"/>
      <c r="L1" s="1452"/>
      <c r="M1" s="1452"/>
      <c r="N1" s="1452"/>
      <c r="O1" s="1452"/>
      <c r="P1" s="1452"/>
      <c r="Q1" s="1452"/>
      <c r="R1" s="1452"/>
      <c r="S1" s="1452"/>
      <c r="T1" s="1452"/>
      <c r="U1" s="1452"/>
      <c r="V1" s="1452"/>
      <c r="W1" s="1453"/>
      <c r="X1" s="470"/>
      <c r="Y1" s="471"/>
      <c r="Z1" s="472"/>
      <c r="AA1" s="473"/>
    </row>
    <row r="2" spans="1:27" ht="15" customHeight="1" x14ac:dyDescent="0.25">
      <c r="A2" s="1340" t="s">
        <v>69</v>
      </c>
      <c r="B2" s="1341"/>
      <c r="C2" s="1341"/>
      <c r="D2" s="1341"/>
      <c r="E2" s="1341"/>
      <c r="F2" s="1341"/>
      <c r="G2" s="1341"/>
      <c r="H2" s="1341"/>
      <c r="I2" s="1454"/>
      <c r="J2" s="1454"/>
      <c r="K2" s="1454"/>
      <c r="L2" s="1454"/>
      <c r="M2" s="1454"/>
      <c r="N2" s="1454"/>
      <c r="O2" s="1454"/>
      <c r="P2" s="1454"/>
      <c r="Q2" s="1454"/>
      <c r="R2" s="1454"/>
      <c r="S2" s="1454"/>
      <c r="T2" s="1454"/>
      <c r="U2" s="1454"/>
      <c r="V2" s="1454"/>
      <c r="W2" s="1455"/>
      <c r="X2" s="474"/>
    </row>
    <row r="3" spans="1:27" ht="15" customHeight="1" x14ac:dyDescent="0.2">
      <c r="A3" s="1459" t="str">
        <f>'B1_Allgemeine Angaben'!A3:N3</f>
        <v/>
      </c>
      <c r="B3" s="1460"/>
      <c r="C3" s="1460"/>
      <c r="D3" s="1460"/>
      <c r="E3" s="1460"/>
      <c r="F3" s="1460"/>
      <c r="G3" s="1460"/>
      <c r="H3" s="1460"/>
      <c r="I3" s="1454"/>
      <c r="J3" s="1454"/>
      <c r="K3" s="1454"/>
      <c r="L3" s="1454"/>
      <c r="M3" s="1454"/>
      <c r="N3" s="1454"/>
      <c r="O3" s="1454"/>
      <c r="P3" s="1454"/>
      <c r="Q3" s="1454"/>
      <c r="R3" s="1454"/>
      <c r="S3" s="1454"/>
      <c r="T3" s="1454"/>
      <c r="U3" s="1454"/>
      <c r="V3" s="1454"/>
      <c r="W3" s="1455"/>
      <c r="X3" s="475"/>
    </row>
    <row r="4" spans="1:27" ht="15" customHeight="1" x14ac:dyDescent="0.2">
      <c r="A4" s="1461" t="str">
        <f>'B1_Allgemeine Angaben'!A4:N4</f>
        <v/>
      </c>
      <c r="B4" s="1462"/>
      <c r="C4" s="1462"/>
      <c r="D4" s="1462"/>
      <c r="E4" s="1462"/>
      <c r="F4" s="1462"/>
      <c r="G4" s="1462"/>
      <c r="H4" s="1462"/>
      <c r="I4" s="1463"/>
      <c r="J4" s="1463"/>
      <c r="K4" s="1463"/>
      <c r="L4" s="1463"/>
      <c r="M4" s="1463"/>
      <c r="N4" s="1463"/>
      <c r="O4" s="1463"/>
      <c r="P4" s="1463"/>
      <c r="Q4" s="1463"/>
      <c r="R4" s="1463"/>
      <c r="S4" s="1463"/>
      <c r="T4" s="1463"/>
      <c r="U4" s="1463"/>
      <c r="V4" s="1463"/>
      <c r="W4" s="1464"/>
      <c r="X4" s="476"/>
    </row>
    <row r="5" spans="1:27" ht="14.25" customHeight="1" x14ac:dyDescent="0.2">
      <c r="A5" s="2"/>
      <c r="B5" s="477"/>
      <c r="C5" s="478"/>
      <c r="D5" s="478"/>
      <c r="E5" s="479" t="s">
        <v>70</v>
      </c>
      <c r="F5" s="479"/>
      <c r="G5" s="480"/>
      <c r="I5" s="41"/>
      <c r="J5" s="481" t="s">
        <v>125</v>
      </c>
      <c r="K5" s="41"/>
      <c r="L5" s="481" t="s">
        <v>126</v>
      </c>
      <c r="M5" s="480"/>
      <c r="N5" s="481" t="s">
        <v>142</v>
      </c>
      <c r="O5" s="480"/>
      <c r="P5" s="481" t="s">
        <v>73</v>
      </c>
      <c r="Q5" s="41"/>
      <c r="S5" s="480"/>
      <c r="U5" s="480"/>
      <c r="W5" s="4"/>
      <c r="X5" s="475"/>
    </row>
    <row r="6" spans="1:27" x14ac:dyDescent="0.2">
      <c r="A6" s="2"/>
      <c r="C6" s="482" t="s">
        <v>71</v>
      </c>
      <c r="D6" s="483" t="str">
        <f>IF('B1_Allgemeine Angaben'!L47&gt;0,'B1_Allgemeine Angaben'!L47,"")</f>
        <v/>
      </c>
      <c r="E6" s="41" t="s">
        <v>72</v>
      </c>
      <c r="F6" s="41"/>
      <c r="G6" s="480"/>
      <c r="I6" s="41"/>
      <c r="J6" s="484" t="str">
        <f>IF(B1_Kalkulation!I6&gt;0,B1_Kalkulation!I6,"")</f>
        <v/>
      </c>
      <c r="K6" s="41"/>
      <c r="L6" s="485" t="str">
        <f>IF(B1_Kalkulation!D6&gt;0,B1_Kalkulation!D6,"")</f>
        <v/>
      </c>
      <c r="M6" s="42"/>
      <c r="N6" s="486" t="str">
        <f>IFERROR(L6*J6*'B1_Allgemeine Angaben'!L47/100,"")</f>
        <v/>
      </c>
      <c r="O6" s="480"/>
      <c r="P6" s="486" t="str">
        <f>IFERROR(ROUND(J6/12,2),"")</f>
        <v/>
      </c>
      <c r="Q6" s="487"/>
      <c r="S6" s="480"/>
      <c r="T6" s="37"/>
      <c r="U6" s="488"/>
      <c r="V6" s="37"/>
      <c r="W6" s="4"/>
    </row>
    <row r="7" spans="1:27" ht="3" customHeight="1" x14ac:dyDescent="0.2">
      <c r="A7" s="2"/>
      <c r="C7" s="482"/>
      <c r="D7" s="482"/>
      <c r="E7" s="489"/>
      <c r="F7" s="489"/>
      <c r="G7" s="480"/>
      <c r="I7" s="490"/>
      <c r="J7" s="482"/>
      <c r="K7" s="490"/>
      <c r="L7" s="482"/>
      <c r="M7" s="490"/>
      <c r="N7" s="482"/>
      <c r="O7" s="480"/>
      <c r="Q7" s="490"/>
      <c r="R7" s="482"/>
      <c r="S7" s="490"/>
      <c r="T7" s="37"/>
      <c r="U7" s="488"/>
      <c r="V7" s="37"/>
      <c r="W7" s="4"/>
    </row>
    <row r="8" spans="1:27" x14ac:dyDescent="0.2">
      <c r="A8" s="2"/>
      <c r="C8" s="37"/>
      <c r="D8" s="482"/>
      <c r="E8" s="41" t="s">
        <v>74</v>
      </c>
      <c r="F8" s="41"/>
      <c r="G8" s="480"/>
      <c r="I8" s="490"/>
      <c r="J8" s="491" t="s">
        <v>143</v>
      </c>
      <c r="K8" s="41"/>
      <c r="L8" s="485" t="str">
        <f>IF('B1_Allgemeine Angaben'!D7="vst",100,IF('B1_Allgemeine Angaben'!D7="kzp",100,L6))</f>
        <v/>
      </c>
      <c r="M8" s="489"/>
      <c r="N8" s="486" t="str">
        <f>IFERROR(B1_Kalkulation!L12*J6*L8/100,"")</f>
        <v/>
      </c>
      <c r="O8" s="480"/>
      <c r="Q8" s="487"/>
      <c r="S8" s="480"/>
      <c r="T8" s="37"/>
      <c r="U8" s="488"/>
      <c r="V8" s="37"/>
      <c r="W8" s="4"/>
      <c r="X8" s="492"/>
    </row>
    <row r="9" spans="1:27" ht="9.9499999999999993" customHeight="1" x14ac:dyDescent="0.2">
      <c r="A9" s="2"/>
      <c r="C9" s="37"/>
      <c r="D9" s="482"/>
      <c r="E9" s="480"/>
      <c r="F9" s="480"/>
      <c r="G9" s="480"/>
      <c r="I9" s="490"/>
      <c r="J9" s="482"/>
      <c r="K9" s="482"/>
      <c r="L9" s="482"/>
      <c r="M9" s="42"/>
      <c r="N9" s="17"/>
      <c r="O9" s="480"/>
      <c r="Q9" s="42"/>
      <c r="R9" s="17"/>
      <c r="S9" s="480"/>
      <c r="T9" s="37"/>
      <c r="U9" s="488"/>
      <c r="V9" s="37"/>
      <c r="W9" s="4"/>
      <c r="X9" s="492"/>
    </row>
    <row r="10" spans="1:27" x14ac:dyDescent="0.2">
      <c r="A10" s="2"/>
      <c r="C10" s="491"/>
      <c r="D10" s="11" t="s">
        <v>29</v>
      </c>
      <c r="E10" s="493">
        <f>SUM(H10:P10)</f>
        <v>0</v>
      </c>
      <c r="F10" s="493" t="s">
        <v>203</v>
      </c>
      <c r="G10" s="480"/>
      <c r="H10" s="494">
        <f>B1_Kalkulation!H14</f>
        <v>0</v>
      </c>
      <c r="I10" s="495"/>
      <c r="J10" s="494">
        <f>B1_Kalkulation!I14</f>
        <v>0</v>
      </c>
      <c r="K10" s="495"/>
      <c r="L10" s="494">
        <f>B1_Kalkulation!J14</f>
        <v>0</v>
      </c>
      <c r="M10" s="496"/>
      <c r="N10" s="494">
        <f>B1_Kalkulation!K14</f>
        <v>0</v>
      </c>
      <c r="O10" s="496"/>
      <c r="P10" s="494">
        <f>B1_Kalkulation!L14</f>
        <v>0</v>
      </c>
      <c r="Q10" s="41"/>
      <c r="S10" s="480"/>
      <c r="T10" s="37"/>
      <c r="U10" s="488"/>
      <c r="V10" s="37"/>
      <c r="W10" s="4"/>
      <c r="X10" s="492"/>
    </row>
    <row r="11" spans="1:27" x14ac:dyDescent="0.2">
      <c r="A11" s="2"/>
      <c r="C11" s="491"/>
      <c r="D11" s="11" t="s">
        <v>56</v>
      </c>
      <c r="E11" s="497">
        <f>SUM(H11:P11)</f>
        <v>0</v>
      </c>
      <c r="F11" s="498" t="e">
        <f>J11+L11+N11+P11</f>
        <v>#VALUE!</v>
      </c>
      <c r="G11" s="480"/>
      <c r="H11" s="499" t="str">
        <f>IFERROR(H10*$J$6*$L$6/100,"")</f>
        <v/>
      </c>
      <c r="I11" s="41"/>
      <c r="J11" s="499" t="str">
        <f>IFERROR(J10*$J$6*$L$6/100,"")</f>
        <v/>
      </c>
      <c r="K11" s="41"/>
      <c r="L11" s="499" t="str">
        <f>IFERROR(L10*$J$6*$L$6/100,"")</f>
        <v/>
      </c>
      <c r="M11" s="480"/>
      <c r="N11" s="499" t="str">
        <f>IFERROR(N10*$J$6*$L$6/100,"")</f>
        <v/>
      </c>
      <c r="O11" s="480"/>
      <c r="P11" s="499" t="str">
        <f>IFERROR(P10*$J$6*$L$6/100,"")</f>
        <v/>
      </c>
      <c r="Q11" s="41"/>
      <c r="S11" s="480"/>
      <c r="U11" s="480"/>
      <c r="W11" s="4"/>
    </row>
    <row r="12" spans="1:27" x14ac:dyDescent="0.2">
      <c r="A12" s="2"/>
      <c r="C12" s="491"/>
      <c r="D12" s="17" t="s">
        <v>75</v>
      </c>
      <c r="E12" s="498"/>
      <c r="F12" s="498"/>
      <c r="G12" s="480"/>
      <c r="H12" s="500"/>
      <c r="I12" s="41"/>
      <c r="J12" s="501">
        <v>805</v>
      </c>
      <c r="K12" s="41"/>
      <c r="L12" s="501">
        <v>1319</v>
      </c>
      <c r="M12" s="480"/>
      <c r="N12" s="501">
        <v>1855</v>
      </c>
      <c r="O12" s="480"/>
      <c r="P12" s="501">
        <v>2096</v>
      </c>
      <c r="Q12" s="41"/>
      <c r="S12" s="480"/>
      <c r="U12" s="480"/>
      <c r="W12" s="4"/>
      <c r="X12" s="476"/>
    </row>
    <row r="13" spans="1:27" ht="9.9499999999999993" customHeight="1" x14ac:dyDescent="0.2">
      <c r="A13" s="2"/>
      <c r="E13" s="480"/>
      <c r="F13" s="502"/>
      <c r="G13" s="503"/>
      <c r="I13" s="503"/>
      <c r="K13" s="503"/>
      <c r="M13" s="503"/>
      <c r="O13" s="480"/>
      <c r="Q13" s="41"/>
      <c r="S13" s="480"/>
      <c r="U13" s="480"/>
      <c r="W13" s="4"/>
      <c r="X13" s="476"/>
    </row>
    <row r="14" spans="1:27" ht="39.950000000000003" customHeight="1" x14ac:dyDescent="0.2">
      <c r="A14" s="2"/>
      <c r="C14" s="454"/>
      <c r="D14" s="504"/>
      <c r="E14" s="505"/>
      <c r="F14" s="505"/>
      <c r="G14" s="506" t="s">
        <v>76</v>
      </c>
      <c r="H14" s="507" t="s">
        <v>152</v>
      </c>
      <c r="I14" s="506" t="s">
        <v>77</v>
      </c>
      <c r="J14" s="508" t="s">
        <v>153</v>
      </c>
      <c r="K14" s="506" t="s">
        <v>78</v>
      </c>
      <c r="L14" s="508" t="s">
        <v>154</v>
      </c>
      <c r="M14" s="506" t="s">
        <v>79</v>
      </c>
      <c r="N14" s="508" t="s">
        <v>155</v>
      </c>
      <c r="O14" s="506" t="s">
        <v>80</v>
      </c>
      <c r="P14" s="508" t="s">
        <v>156</v>
      </c>
      <c r="Q14" s="506" t="s">
        <v>81</v>
      </c>
      <c r="R14" s="508" t="s">
        <v>157</v>
      </c>
      <c r="S14" s="506" t="s">
        <v>82</v>
      </c>
      <c r="T14" s="507" t="s">
        <v>158</v>
      </c>
      <c r="U14" s="506" t="s">
        <v>144</v>
      </c>
      <c r="V14" s="507" t="s">
        <v>159</v>
      </c>
      <c r="W14" s="4"/>
      <c r="X14" s="476"/>
    </row>
    <row r="15" spans="1:27" x14ac:dyDescent="0.2">
      <c r="A15" s="2"/>
      <c r="B15" s="509"/>
      <c r="C15" s="509"/>
      <c r="D15" s="510" t="s">
        <v>83</v>
      </c>
      <c r="E15" s="511" t="s">
        <v>84</v>
      </c>
      <c r="F15" s="511" t="s">
        <v>141</v>
      </c>
      <c r="G15" s="512" t="s">
        <v>85</v>
      </c>
      <c r="H15" s="827" t="s">
        <v>526</v>
      </c>
      <c r="I15" s="514" t="s">
        <v>85</v>
      </c>
      <c r="J15" s="830" t="s">
        <v>526</v>
      </c>
      <c r="K15" s="512" t="s">
        <v>85</v>
      </c>
      <c r="L15" s="513" t="s">
        <v>526</v>
      </c>
      <c r="M15" s="512" t="s">
        <v>85</v>
      </c>
      <c r="N15" s="513" t="s">
        <v>526</v>
      </c>
      <c r="O15" s="512" t="s">
        <v>85</v>
      </c>
      <c r="P15" s="513" t="s">
        <v>526</v>
      </c>
      <c r="Q15" s="512" t="s">
        <v>85</v>
      </c>
      <c r="R15" s="513" t="s">
        <v>526</v>
      </c>
      <c r="S15" s="512" t="s">
        <v>85</v>
      </c>
      <c r="T15" s="513" t="s">
        <v>526</v>
      </c>
      <c r="U15" s="512" t="s">
        <v>85</v>
      </c>
      <c r="V15" s="513" t="s">
        <v>526</v>
      </c>
      <c r="W15" s="4"/>
      <c r="X15" s="492"/>
    </row>
    <row r="16" spans="1:27" x14ac:dyDescent="0.2">
      <c r="A16" s="2"/>
      <c r="B16" s="515" t="s">
        <v>86</v>
      </c>
      <c r="C16" s="515" t="s">
        <v>210</v>
      </c>
      <c r="D16" s="516" t="str">
        <f>IF(SUM(D17:D18,D20:D24)=0,"",SUM(D17:D18,D20:D24))</f>
        <v/>
      </c>
      <c r="E16" s="517" t="e">
        <f>G16+I16+K16+M16+O16+Q16</f>
        <v>#DIV/0!</v>
      </c>
      <c r="F16" s="518"/>
      <c r="G16" s="519" t="e">
        <f>SUM(G17:G24)</f>
        <v>#DIV/0!</v>
      </c>
      <c r="H16" s="520" t="e">
        <f t="shared" ref="H16:P16" si="0">SUM(H17:H24)</f>
        <v>#DIV/0!</v>
      </c>
      <c r="I16" s="521" t="e">
        <f>SUM(I17:I24)</f>
        <v>#DIV/0!</v>
      </c>
      <c r="J16" s="520" t="e">
        <f t="shared" si="0"/>
        <v>#DIV/0!</v>
      </c>
      <c r="K16" s="522" t="e">
        <f t="shared" si="0"/>
        <v>#DIV/0!</v>
      </c>
      <c r="L16" s="523" t="e">
        <f t="shared" si="0"/>
        <v>#DIV/0!</v>
      </c>
      <c r="M16" s="522" t="e">
        <f t="shared" si="0"/>
        <v>#DIV/0!</v>
      </c>
      <c r="N16" s="523" t="e">
        <f t="shared" si="0"/>
        <v>#DIV/0!</v>
      </c>
      <c r="O16" s="522" t="e">
        <f t="shared" si="0"/>
        <v>#DIV/0!</v>
      </c>
      <c r="P16" s="523" t="e">
        <f t="shared" si="0"/>
        <v>#DIV/0!</v>
      </c>
      <c r="Q16" s="522">
        <f>SUM(Q20:Q24)</f>
        <v>0</v>
      </c>
      <c r="R16" s="523" t="e">
        <f>SUM(R20:R24)</f>
        <v>#VALUE!</v>
      </c>
      <c r="S16" s="524"/>
      <c r="T16" s="525"/>
      <c r="U16" s="524"/>
      <c r="V16" s="525"/>
      <c r="W16" s="4"/>
    </row>
    <row r="17" spans="1:24" x14ac:dyDescent="0.2">
      <c r="A17" s="2"/>
      <c r="B17" s="526" t="s">
        <v>87</v>
      </c>
      <c r="C17" s="527" t="s">
        <v>139</v>
      </c>
      <c r="D17" s="528">
        <f>IF((B1_Kalkulation!L26*B1_Kalkulation!J26)=0,0,(B1_Kalkulation!L26*B1_Kalkulation!J26))</f>
        <v>0</v>
      </c>
      <c r="E17" s="518" t="e">
        <f>G17+I17+K17+M17+O17</f>
        <v>#DIV/0!</v>
      </c>
      <c r="F17" s="518">
        <v>1</v>
      </c>
      <c r="G17" s="529" t="e">
        <f>IF('B1_Allgemeine Angaben'!D7&lt;&gt;"vst",$D17*$F17/B1_Kalkulation!J26*B1_Kalkulation!H14/B1_Kalkulation!I20,B1_Gesamtkalkulation!$D$17*$F17*KAT!E69)</f>
        <v>#DIV/0!</v>
      </c>
      <c r="H17" s="530" t="e">
        <f>G17/$H$11</f>
        <v>#DIV/0!</v>
      </c>
      <c r="I17" s="529" t="e">
        <f>IF('B1_Allgemeine Angaben'!D7&lt;&gt;"vst",$D17*$F17/B1_Kalkulation!J26*B1_Kalkulation!I14/B1_Kalkulation!I21,B1_Gesamtkalkulation!$D$17*$F17*KAT!E70)</f>
        <v>#DIV/0!</v>
      </c>
      <c r="J17" s="530" t="e">
        <f>I17/$J$11</f>
        <v>#DIV/0!</v>
      </c>
      <c r="K17" s="529" t="e">
        <f>IF('B1_Allgemeine Angaben'!D7&lt;&gt;"vst",$D17*$F17/B1_Kalkulation!J26*B1_Kalkulation!J14/B1_Kalkulation!I22,B1_Gesamtkalkulation!D17*$F17*KAT!E71)</f>
        <v>#DIV/0!</v>
      </c>
      <c r="L17" s="530" t="e">
        <f t="shared" ref="L17:L24" si="1">K17/$L$11</f>
        <v>#DIV/0!</v>
      </c>
      <c r="M17" s="529" t="e">
        <f>IF('B1_Allgemeine Angaben'!D7&lt;&gt;"vst",$D17*$F17/B1_Kalkulation!J26*B1_Kalkulation!K14/B1_Kalkulation!I23,B1_Gesamtkalkulation!$D$17*$F17*KAT!E72)</f>
        <v>#DIV/0!</v>
      </c>
      <c r="N17" s="530" t="e">
        <f t="shared" ref="N17:N24" si="2">M17/$N$11</f>
        <v>#DIV/0!</v>
      </c>
      <c r="O17" s="529" t="e">
        <f>IF('B1_Allgemeine Angaben'!D7&lt;&gt;"vst",$D17*$F17/B1_Kalkulation!J26*B1_Kalkulation!L14/B1_Kalkulation!I24,B1_Gesamtkalkulation!$D$17*$F17*KAT!E73)</f>
        <v>#DIV/0!</v>
      </c>
      <c r="P17" s="530" t="e">
        <f t="shared" ref="P17:P24" si="3">O17/$P$11</f>
        <v>#DIV/0!</v>
      </c>
      <c r="Q17" s="531"/>
      <c r="R17" s="532"/>
      <c r="S17" s="524"/>
      <c r="T17" s="525"/>
      <c r="U17" s="524"/>
      <c r="V17" s="525"/>
      <c r="W17" s="4"/>
      <c r="X17" s="453"/>
    </row>
    <row r="18" spans="1:24" x14ac:dyDescent="0.2">
      <c r="A18" s="2"/>
      <c r="B18" s="526" t="s">
        <v>88</v>
      </c>
      <c r="C18" s="527" t="s">
        <v>140</v>
      </c>
      <c r="D18" s="528">
        <f>IF((B1_Kalkulation!L27*B1_Kalkulation!J27)=0,0,(B1_Kalkulation!L27*B1_Kalkulation!J27))</f>
        <v>0</v>
      </c>
      <c r="E18" s="518" t="e">
        <f>G18+I18+K18+M18+O18+Q18</f>
        <v>#VALUE!</v>
      </c>
      <c r="F18" s="518">
        <v>1</v>
      </c>
      <c r="G18" s="529" t="e">
        <f>D18*F18/$N$6*$H$11</f>
        <v>#VALUE!</v>
      </c>
      <c r="H18" s="533" t="e">
        <f>G18/$H$11</f>
        <v>#VALUE!</v>
      </c>
      <c r="I18" s="534" t="e">
        <f>D18*F18/$N$6*$J$11</f>
        <v>#VALUE!</v>
      </c>
      <c r="J18" s="533" t="e">
        <f>I18/$J$11</f>
        <v>#VALUE!</v>
      </c>
      <c r="K18" s="535" t="e">
        <f>D18*F18/$N$6*$L$11</f>
        <v>#VALUE!</v>
      </c>
      <c r="L18" s="533" t="e">
        <f t="shared" si="1"/>
        <v>#VALUE!</v>
      </c>
      <c r="M18" s="535" t="e">
        <f>D18*F18/$N$6*$N$11</f>
        <v>#VALUE!</v>
      </c>
      <c r="N18" s="533" t="e">
        <f t="shared" si="2"/>
        <v>#VALUE!</v>
      </c>
      <c r="O18" s="535" t="e">
        <f>D18*F18/$N$6*$P$11</f>
        <v>#VALUE!</v>
      </c>
      <c r="P18" s="533" t="e">
        <f t="shared" si="3"/>
        <v>#VALUE!</v>
      </c>
      <c r="Q18" s="536"/>
      <c r="R18" s="525"/>
      <c r="S18" s="524"/>
      <c r="T18" s="525"/>
      <c r="U18" s="524"/>
      <c r="V18" s="525"/>
      <c r="W18" s="4"/>
    </row>
    <row r="19" spans="1:24" x14ac:dyDescent="0.2">
      <c r="A19" s="2"/>
      <c r="B19" s="526" t="s">
        <v>89</v>
      </c>
      <c r="C19" s="527" t="s">
        <v>296</v>
      </c>
      <c r="D19" s="528">
        <f>IF((B1_Kalkulation!L33*B1_Kalkulation!J33)=0,0,(B1_Kalkulation!L33*B1_Kalkulation!J33))</f>
        <v>0</v>
      </c>
      <c r="E19" s="518"/>
      <c r="F19" s="518"/>
      <c r="G19" s="529"/>
      <c r="H19" s="537"/>
      <c r="I19" s="537"/>
      <c r="J19" s="537"/>
      <c r="K19" s="537"/>
      <c r="L19" s="537"/>
      <c r="M19" s="537"/>
      <c r="N19" s="537"/>
      <c r="O19" s="537"/>
      <c r="P19" s="537"/>
      <c r="Q19" s="538"/>
      <c r="R19" s="539"/>
      <c r="S19" s="539"/>
      <c r="T19" s="539"/>
      <c r="U19" s="540">
        <f>D19</f>
        <v>0</v>
      </c>
      <c r="V19" s="541" t="e">
        <f>U19/$N$8</f>
        <v>#VALUE!</v>
      </c>
      <c r="W19" s="4"/>
      <c r="X19" s="542"/>
    </row>
    <row r="20" spans="1:24" x14ac:dyDescent="0.2">
      <c r="A20" s="2"/>
      <c r="B20" s="526" t="s">
        <v>90</v>
      </c>
      <c r="C20" s="527" t="s">
        <v>297</v>
      </c>
      <c r="D20" s="528">
        <f>IF((B1_Kalkulation!L28*B1_Kalkulation!J28)=0,0,(B1_Kalkulation!L28*B1_Kalkulation!J28))</f>
        <v>0</v>
      </c>
      <c r="E20" s="518" t="e">
        <f>G20+I20+K20+M20+O20+Q20</f>
        <v>#VALUE!</v>
      </c>
      <c r="F20" s="518">
        <v>0.5</v>
      </c>
      <c r="G20" s="529" t="e">
        <f>D20*F20/$N$6*$H$11</f>
        <v>#VALUE!</v>
      </c>
      <c r="H20" s="543" t="e">
        <f>G20/$H$11</f>
        <v>#VALUE!</v>
      </c>
      <c r="I20" s="544" t="e">
        <f>D20*F20/$N$6*$J$11</f>
        <v>#VALUE!</v>
      </c>
      <c r="J20" s="543" t="e">
        <f>I20/$J$11</f>
        <v>#VALUE!</v>
      </c>
      <c r="K20" s="545" t="e">
        <f>D20*F20/$N$6*$L$11</f>
        <v>#VALUE!</v>
      </c>
      <c r="L20" s="543" t="e">
        <f>K20/$L$11</f>
        <v>#VALUE!</v>
      </c>
      <c r="M20" s="545" t="e">
        <f>D20*F20/$N$6*$N$11</f>
        <v>#VALUE!</v>
      </c>
      <c r="N20" s="543" t="e">
        <f t="shared" si="2"/>
        <v>#VALUE!</v>
      </c>
      <c r="O20" s="545" t="e">
        <f>D20*F20/$N$6*$P$11</f>
        <v>#VALUE!</v>
      </c>
      <c r="P20" s="543" t="e">
        <f>O20/$P$11</f>
        <v>#VALUE!</v>
      </c>
      <c r="Q20" s="545">
        <f>D20*F20</f>
        <v>0</v>
      </c>
      <c r="R20" s="543" t="e">
        <f>Q20/$N$6</f>
        <v>#VALUE!</v>
      </c>
      <c r="S20" s="524"/>
      <c r="T20" s="525"/>
      <c r="U20" s="524"/>
      <c r="V20" s="525"/>
      <c r="W20" s="4"/>
    </row>
    <row r="21" spans="1:24" x14ac:dyDescent="0.2">
      <c r="A21" s="2"/>
      <c r="B21" s="546" t="s">
        <v>91</v>
      </c>
      <c r="C21" s="527" t="s">
        <v>62</v>
      </c>
      <c r="D21" s="528">
        <f>IF((B1_Kalkulation!L29*B1_Kalkulation!J29)=0,0,(B1_Kalkulation!L29*B1_Kalkulation!J29))</f>
        <v>0</v>
      </c>
      <c r="E21" s="518" t="e">
        <f>G21+I21+K21+M21+O21+Q21</f>
        <v>#VALUE!</v>
      </c>
      <c r="F21" s="518">
        <v>0.5</v>
      </c>
      <c r="G21" s="529" t="e">
        <f>D21*F21/$N$6*$H$11</f>
        <v>#VALUE!</v>
      </c>
      <c r="H21" s="530" t="e">
        <f>G21/$H$11</f>
        <v>#VALUE!</v>
      </c>
      <c r="I21" s="547" t="e">
        <f>D21*F21/$N$6*$J$11</f>
        <v>#VALUE!</v>
      </c>
      <c r="J21" s="530" t="e">
        <f>I21/$J$11</f>
        <v>#VALUE!</v>
      </c>
      <c r="K21" s="529" t="e">
        <f>D21*F21/$N$6*$L$11</f>
        <v>#VALUE!</v>
      </c>
      <c r="L21" s="530" t="e">
        <f>K21/$L$11</f>
        <v>#VALUE!</v>
      </c>
      <c r="M21" s="529" t="e">
        <f>D21*F21/$N$6*$N$11</f>
        <v>#VALUE!</v>
      </c>
      <c r="N21" s="530" t="e">
        <f t="shared" si="2"/>
        <v>#VALUE!</v>
      </c>
      <c r="O21" s="529" t="e">
        <f>D21*F21/$N$6*$P$11</f>
        <v>#VALUE!</v>
      </c>
      <c r="P21" s="530" t="e">
        <f t="shared" si="3"/>
        <v>#VALUE!</v>
      </c>
      <c r="Q21" s="529">
        <f>D21*F21</f>
        <v>0</v>
      </c>
      <c r="R21" s="530" t="e">
        <f t="shared" ref="R21:R24" si="4">Q21/$N$6</f>
        <v>#VALUE!</v>
      </c>
      <c r="S21" s="524"/>
      <c r="T21" s="525"/>
      <c r="U21" s="524"/>
      <c r="V21" s="525"/>
      <c r="W21" s="4"/>
      <c r="X21" s="548"/>
    </row>
    <row r="22" spans="1:24" x14ac:dyDescent="0.2">
      <c r="A22" s="2"/>
      <c r="B22" s="526" t="s">
        <v>92</v>
      </c>
      <c r="C22" s="527" t="s">
        <v>32</v>
      </c>
      <c r="D22" s="528">
        <f>IF((B1_Kalkulation!L30*B1_Kalkulation!J30)=0,0,(B1_Kalkulation!L30*B1_Kalkulation!J30))</f>
        <v>0</v>
      </c>
      <c r="E22" s="518" t="e">
        <f>G22+I22+K22+M22+O22+Q22</f>
        <v>#VALUE!</v>
      </c>
      <c r="F22" s="518">
        <v>0.5</v>
      </c>
      <c r="G22" s="529" t="e">
        <f>D22*F22/$N$6*$H$11</f>
        <v>#VALUE!</v>
      </c>
      <c r="H22" s="530" t="e">
        <f>G22/$H$11</f>
        <v>#VALUE!</v>
      </c>
      <c r="I22" s="547" t="e">
        <f>D22*F22/$N$6*$J$11</f>
        <v>#VALUE!</v>
      </c>
      <c r="J22" s="530" t="e">
        <f>I22/$J$11</f>
        <v>#VALUE!</v>
      </c>
      <c r="K22" s="529" t="e">
        <f>D22*F22/$N$6*$L$11</f>
        <v>#VALUE!</v>
      </c>
      <c r="L22" s="530" t="e">
        <f t="shared" si="1"/>
        <v>#VALUE!</v>
      </c>
      <c r="M22" s="529" t="e">
        <f>D22*F22/$N$6*$N$11</f>
        <v>#VALUE!</v>
      </c>
      <c r="N22" s="530" t="e">
        <f t="shared" si="2"/>
        <v>#VALUE!</v>
      </c>
      <c r="O22" s="529" t="e">
        <f>D22*F22/$N$6*$P$11</f>
        <v>#VALUE!</v>
      </c>
      <c r="P22" s="530" t="e">
        <f t="shared" si="3"/>
        <v>#VALUE!</v>
      </c>
      <c r="Q22" s="529">
        <f>D22*F22</f>
        <v>0</v>
      </c>
      <c r="R22" s="530" t="e">
        <f t="shared" si="4"/>
        <v>#VALUE!</v>
      </c>
      <c r="S22" s="524"/>
      <c r="T22" s="525"/>
      <c r="U22" s="524"/>
      <c r="V22" s="525"/>
      <c r="W22" s="4"/>
    </row>
    <row r="23" spans="1:24" x14ac:dyDescent="0.2">
      <c r="A23" s="2"/>
      <c r="B23" s="526" t="s">
        <v>93</v>
      </c>
      <c r="C23" s="527" t="s">
        <v>33</v>
      </c>
      <c r="D23" s="528">
        <f>IF((B1_Kalkulation!L31*B1_Kalkulation!J31)=0,0,(B1_Kalkulation!L31*B1_Kalkulation!J31))</f>
        <v>0</v>
      </c>
      <c r="E23" s="518" t="e">
        <f>G23+I23+K23+M23+O23+Q23</f>
        <v>#VALUE!</v>
      </c>
      <c r="F23" s="518">
        <v>0.5</v>
      </c>
      <c r="G23" s="529" t="e">
        <f>D23*F23/$N$6*$H$11</f>
        <v>#VALUE!</v>
      </c>
      <c r="H23" s="530" t="e">
        <f>G23/$H$11</f>
        <v>#VALUE!</v>
      </c>
      <c r="I23" s="547" t="e">
        <f>D23*F23/$N$6*$J$11</f>
        <v>#VALUE!</v>
      </c>
      <c r="J23" s="530" t="e">
        <f>I23/$J$11</f>
        <v>#VALUE!</v>
      </c>
      <c r="K23" s="529" t="e">
        <f>D23*F23/$N$6*$L$11</f>
        <v>#VALUE!</v>
      </c>
      <c r="L23" s="530" t="e">
        <f t="shared" si="1"/>
        <v>#VALUE!</v>
      </c>
      <c r="M23" s="529" t="e">
        <f>D23*F23/$N$6*$N$11</f>
        <v>#VALUE!</v>
      </c>
      <c r="N23" s="530" t="e">
        <f t="shared" si="2"/>
        <v>#VALUE!</v>
      </c>
      <c r="O23" s="529" t="e">
        <f>D23*F23/$N$6*$P$11</f>
        <v>#VALUE!</v>
      </c>
      <c r="P23" s="530" t="e">
        <f t="shared" si="3"/>
        <v>#VALUE!</v>
      </c>
      <c r="Q23" s="529">
        <f>D23*F23</f>
        <v>0</v>
      </c>
      <c r="R23" s="530" t="e">
        <f t="shared" si="4"/>
        <v>#VALUE!</v>
      </c>
      <c r="S23" s="524"/>
      <c r="T23" s="525"/>
      <c r="U23" s="524"/>
      <c r="V23" s="525"/>
      <c r="W23" s="4"/>
    </row>
    <row r="24" spans="1:24" x14ac:dyDescent="0.2">
      <c r="A24" s="2"/>
      <c r="B24" s="526" t="s">
        <v>103</v>
      </c>
      <c r="C24" s="549" t="s">
        <v>211</v>
      </c>
      <c r="D24" s="528">
        <f>B1_Kalkulation!L32*B1_Kalkulation!J32</f>
        <v>0</v>
      </c>
      <c r="E24" s="518" t="e">
        <f>G24+I24+K24+M24+O24+Q24</f>
        <v>#VALUE!</v>
      </c>
      <c r="F24" s="518">
        <v>0.5</v>
      </c>
      <c r="G24" s="529" t="e">
        <f>D24*F24/$N$6*$H$11</f>
        <v>#VALUE!</v>
      </c>
      <c r="H24" s="530" t="e">
        <f>G24/$H$11</f>
        <v>#VALUE!</v>
      </c>
      <c r="I24" s="547" t="e">
        <f>D24*F24/$N$6*$J$11</f>
        <v>#VALUE!</v>
      </c>
      <c r="J24" s="530" t="e">
        <f>I24/$J$11</f>
        <v>#VALUE!</v>
      </c>
      <c r="K24" s="529" t="e">
        <f>D24*F24/$N$6*$L$11</f>
        <v>#VALUE!</v>
      </c>
      <c r="L24" s="530" t="e">
        <f t="shared" si="1"/>
        <v>#VALUE!</v>
      </c>
      <c r="M24" s="529" t="e">
        <f>D24*F24/$N$6*$N$11</f>
        <v>#VALUE!</v>
      </c>
      <c r="N24" s="530" t="e">
        <f t="shared" si="2"/>
        <v>#VALUE!</v>
      </c>
      <c r="O24" s="529" t="e">
        <f>D24*F24/$N$6*$P$11</f>
        <v>#VALUE!</v>
      </c>
      <c r="P24" s="530" t="e">
        <f t="shared" si="3"/>
        <v>#VALUE!</v>
      </c>
      <c r="Q24" s="529">
        <f>D24*F24</f>
        <v>0</v>
      </c>
      <c r="R24" s="530" t="e">
        <f t="shared" si="4"/>
        <v>#VALUE!</v>
      </c>
      <c r="S24" s="524"/>
      <c r="T24" s="525"/>
      <c r="U24" s="524"/>
      <c r="V24" s="525"/>
      <c r="W24" s="4"/>
      <c r="X24" s="459"/>
    </row>
    <row r="25" spans="1:24" x14ac:dyDescent="0.2">
      <c r="A25" s="2"/>
      <c r="C25" s="550"/>
      <c r="D25" s="551"/>
      <c r="E25" s="552"/>
      <c r="F25" s="552"/>
      <c r="G25" s="540"/>
      <c r="H25" s="525"/>
      <c r="I25" s="540"/>
      <c r="J25" s="525"/>
      <c r="K25" s="540"/>
      <c r="L25" s="525"/>
      <c r="M25" s="540"/>
      <c r="N25" s="525"/>
      <c r="O25" s="540"/>
      <c r="P25" s="525"/>
      <c r="Q25" s="540"/>
      <c r="R25" s="525"/>
      <c r="S25" s="524"/>
      <c r="T25" s="525"/>
      <c r="U25" s="524"/>
      <c r="V25" s="525"/>
      <c r="W25" s="4"/>
    </row>
    <row r="26" spans="1:24" x14ac:dyDescent="0.2">
      <c r="A26" s="2"/>
      <c r="B26" s="553" t="s">
        <v>31</v>
      </c>
      <c r="C26" s="515" t="s">
        <v>94</v>
      </c>
      <c r="D26" s="516">
        <f>SUM(D27:D36)</f>
        <v>0</v>
      </c>
      <c r="E26" s="518" t="e">
        <f>G26+I26+K26+M26+O26+Q26+S26</f>
        <v>#VALUE!</v>
      </c>
      <c r="F26" s="518"/>
      <c r="G26" s="519" t="e">
        <f t="shared" ref="G26:L26" si="5">SUM(G28:G36)</f>
        <v>#VALUE!</v>
      </c>
      <c r="H26" s="520" t="e">
        <f t="shared" si="5"/>
        <v>#VALUE!</v>
      </c>
      <c r="I26" s="521" t="e">
        <f t="shared" si="5"/>
        <v>#VALUE!</v>
      </c>
      <c r="J26" s="520" t="e">
        <f t="shared" si="5"/>
        <v>#VALUE!</v>
      </c>
      <c r="K26" s="519" t="e">
        <f t="shared" si="5"/>
        <v>#VALUE!</v>
      </c>
      <c r="L26" s="520" t="e">
        <f t="shared" si="5"/>
        <v>#VALUE!</v>
      </c>
      <c r="M26" s="519" t="e">
        <f t="shared" ref="M26:P26" si="6">SUM(M28:M36)</f>
        <v>#VALUE!</v>
      </c>
      <c r="N26" s="520" t="e">
        <f t="shared" si="6"/>
        <v>#VALUE!</v>
      </c>
      <c r="O26" s="519" t="e">
        <f t="shared" si="6"/>
        <v>#VALUE!</v>
      </c>
      <c r="P26" s="520" t="e">
        <f t="shared" si="6"/>
        <v>#VALUE!</v>
      </c>
      <c r="Q26" s="522">
        <f>SUM(Q29:Q36)</f>
        <v>0</v>
      </c>
      <c r="R26" s="523" t="e">
        <f>SUM(R29:R36)</f>
        <v>#VALUE!</v>
      </c>
      <c r="S26" s="522">
        <f>SUM(S27:S36)</f>
        <v>0</v>
      </c>
      <c r="T26" s="523" t="e">
        <f>SUM(T27:T36)</f>
        <v>#VALUE!</v>
      </c>
      <c r="U26" s="554"/>
      <c r="V26" s="525"/>
      <c r="W26" s="4"/>
    </row>
    <row r="27" spans="1:24" x14ac:dyDescent="0.2">
      <c r="A27" s="2"/>
      <c r="B27" s="555" t="s">
        <v>37</v>
      </c>
      <c r="C27" s="556" t="s">
        <v>38</v>
      </c>
      <c r="D27" s="528">
        <f>B1_Kalkulation!L36</f>
        <v>0</v>
      </c>
      <c r="E27" s="547"/>
      <c r="F27" s="547"/>
      <c r="G27" s="557"/>
      <c r="H27" s="537"/>
      <c r="I27" s="547"/>
      <c r="J27" s="537"/>
      <c r="K27" s="547"/>
      <c r="L27" s="537"/>
      <c r="M27" s="547"/>
      <c r="N27" s="537"/>
      <c r="O27" s="547"/>
      <c r="P27" s="537"/>
      <c r="Q27" s="547"/>
      <c r="R27" s="558"/>
      <c r="S27" s="529">
        <f>D27</f>
        <v>0</v>
      </c>
      <c r="T27" s="543" t="e">
        <f>S27/$N$6</f>
        <v>#VALUE!</v>
      </c>
      <c r="U27" s="540"/>
      <c r="V27" s="525"/>
      <c r="W27" s="4"/>
    </row>
    <row r="28" spans="1:24" x14ac:dyDescent="0.2">
      <c r="A28" s="2"/>
      <c r="B28" s="555" t="s">
        <v>39</v>
      </c>
      <c r="C28" s="556" t="s">
        <v>40</v>
      </c>
      <c r="D28" s="528">
        <f>B1_Kalkulation!L37</f>
        <v>0</v>
      </c>
      <c r="E28" s="518" t="e">
        <f>G28+I28+K28+M28+O28+Q28+S28</f>
        <v>#VALUE!</v>
      </c>
      <c r="F28" s="518">
        <v>1</v>
      </c>
      <c r="G28" s="529" t="e">
        <f>D28*F28/$N$6*$H$11</f>
        <v>#VALUE!</v>
      </c>
      <c r="H28" s="530" t="e">
        <f t="shared" ref="H28:H35" si="7">G28/$H$11</f>
        <v>#VALUE!</v>
      </c>
      <c r="I28" s="547" t="e">
        <f>D28*F28/$N$6*$J$11</f>
        <v>#VALUE!</v>
      </c>
      <c r="J28" s="530" t="e">
        <f t="shared" ref="J28:J36" si="8">I28/$J$11</f>
        <v>#VALUE!</v>
      </c>
      <c r="K28" s="529" t="e">
        <f>D28*F28/$N$6*$L$11</f>
        <v>#VALUE!</v>
      </c>
      <c r="L28" s="530" t="e">
        <f t="shared" ref="L28:L36" si="9">K28/$L$11</f>
        <v>#VALUE!</v>
      </c>
      <c r="M28" s="529" t="e">
        <f>D28*F28/$N$6*$N$11</f>
        <v>#VALUE!</v>
      </c>
      <c r="N28" s="530" t="e">
        <f t="shared" ref="N28:N36" si="10">M28/$N$11</f>
        <v>#VALUE!</v>
      </c>
      <c r="O28" s="529" t="e">
        <f>D28*F28/$N$6*$P$11</f>
        <v>#VALUE!</v>
      </c>
      <c r="P28" s="530" t="e">
        <f t="shared" ref="P28:P36" si="11">O28/$P$11</f>
        <v>#VALUE!</v>
      </c>
      <c r="Q28" s="559"/>
      <c r="R28" s="539"/>
      <c r="S28" s="560"/>
      <c r="T28" s="525"/>
      <c r="U28" s="524"/>
      <c r="V28" s="525"/>
      <c r="W28" s="4"/>
    </row>
    <row r="29" spans="1:24" x14ac:dyDescent="0.2">
      <c r="A29" s="2"/>
      <c r="B29" s="555" t="s">
        <v>41</v>
      </c>
      <c r="C29" s="561" t="s">
        <v>298</v>
      </c>
      <c r="D29" s="528">
        <f>B1_Kalkulation!L38</f>
        <v>0</v>
      </c>
      <c r="E29" s="518" t="e">
        <f t="shared" ref="E29:E36" si="12">G29+I29+K29+M29+O29+Q29+S29</f>
        <v>#VALUE!</v>
      </c>
      <c r="F29" s="518">
        <v>0.5</v>
      </c>
      <c r="G29" s="529" t="e">
        <f t="shared" ref="G29:G35" si="13">D29*F29/$N$6*$H$11</f>
        <v>#VALUE!</v>
      </c>
      <c r="H29" s="530" t="e">
        <f t="shared" si="7"/>
        <v>#VALUE!</v>
      </c>
      <c r="I29" s="547" t="e">
        <f t="shared" ref="I29:I36" si="14">D29*F29/$N$6*$J$11</f>
        <v>#VALUE!</v>
      </c>
      <c r="J29" s="530" t="e">
        <f t="shared" si="8"/>
        <v>#VALUE!</v>
      </c>
      <c r="K29" s="529" t="e">
        <f t="shared" ref="K29:K36" si="15">D29*F29/$N$6*$L$11</f>
        <v>#VALUE!</v>
      </c>
      <c r="L29" s="530" t="e">
        <f t="shared" si="9"/>
        <v>#VALUE!</v>
      </c>
      <c r="M29" s="529" t="e">
        <f t="shared" ref="M29:M36" si="16">D29*F29/$N$6*$N$11</f>
        <v>#VALUE!</v>
      </c>
      <c r="N29" s="530" t="e">
        <f t="shared" si="10"/>
        <v>#VALUE!</v>
      </c>
      <c r="O29" s="529" t="e">
        <f t="shared" ref="O29:O36" si="17">D29*F29/$N$6*$P$11</f>
        <v>#VALUE!</v>
      </c>
      <c r="P29" s="530" t="e">
        <f t="shared" si="11"/>
        <v>#VALUE!</v>
      </c>
      <c r="Q29" s="529">
        <f>D29*F29</f>
        <v>0</v>
      </c>
      <c r="R29" s="530" t="e">
        <f>Q29/$N$6</f>
        <v>#VALUE!</v>
      </c>
      <c r="S29" s="562"/>
      <c r="T29" s="525"/>
      <c r="U29" s="524"/>
      <c r="V29" s="525"/>
      <c r="W29" s="4"/>
    </row>
    <row r="30" spans="1:24" x14ac:dyDescent="0.2">
      <c r="A30" s="2"/>
      <c r="B30" s="555" t="s">
        <v>42</v>
      </c>
      <c r="C30" s="556" t="s">
        <v>43</v>
      </c>
      <c r="D30" s="528">
        <f>B1_Kalkulation!L39</f>
        <v>0</v>
      </c>
      <c r="E30" s="518" t="e">
        <f t="shared" si="12"/>
        <v>#VALUE!</v>
      </c>
      <c r="F30" s="518">
        <v>0.5</v>
      </c>
      <c r="G30" s="529" t="e">
        <f t="shared" si="13"/>
        <v>#VALUE!</v>
      </c>
      <c r="H30" s="530" t="e">
        <f t="shared" si="7"/>
        <v>#VALUE!</v>
      </c>
      <c r="I30" s="547" t="e">
        <f t="shared" si="14"/>
        <v>#VALUE!</v>
      </c>
      <c r="J30" s="530" t="e">
        <f t="shared" si="8"/>
        <v>#VALUE!</v>
      </c>
      <c r="K30" s="529" t="e">
        <f t="shared" si="15"/>
        <v>#VALUE!</v>
      </c>
      <c r="L30" s="530" t="e">
        <f t="shared" si="9"/>
        <v>#VALUE!</v>
      </c>
      <c r="M30" s="529" t="e">
        <f t="shared" si="16"/>
        <v>#VALUE!</v>
      </c>
      <c r="N30" s="530" t="e">
        <f t="shared" si="10"/>
        <v>#VALUE!</v>
      </c>
      <c r="O30" s="529" t="e">
        <f t="shared" si="17"/>
        <v>#VALUE!</v>
      </c>
      <c r="P30" s="530" t="e">
        <f t="shared" si="11"/>
        <v>#VALUE!</v>
      </c>
      <c r="Q30" s="529">
        <f>D30*F30</f>
        <v>0</v>
      </c>
      <c r="R30" s="530" t="e">
        <f t="shared" ref="R30:R36" si="18">Q30/$N$6</f>
        <v>#VALUE!</v>
      </c>
      <c r="S30" s="562"/>
      <c r="T30" s="525"/>
      <c r="U30" s="524"/>
      <c r="V30" s="525"/>
      <c r="W30" s="4"/>
    </row>
    <row r="31" spans="1:24" x14ac:dyDescent="0.2">
      <c r="A31" s="2"/>
      <c r="B31" s="555" t="s">
        <v>44</v>
      </c>
      <c r="C31" s="556" t="s">
        <v>45</v>
      </c>
      <c r="D31" s="528">
        <f>B1_Kalkulation!L40</f>
        <v>0</v>
      </c>
      <c r="E31" s="518" t="e">
        <f t="shared" si="12"/>
        <v>#VALUE!</v>
      </c>
      <c r="F31" s="518">
        <v>0.5</v>
      </c>
      <c r="G31" s="529" t="e">
        <f t="shared" si="13"/>
        <v>#VALUE!</v>
      </c>
      <c r="H31" s="530" t="e">
        <f t="shared" si="7"/>
        <v>#VALUE!</v>
      </c>
      <c r="I31" s="547" t="e">
        <f t="shared" si="14"/>
        <v>#VALUE!</v>
      </c>
      <c r="J31" s="530" t="e">
        <f t="shared" si="8"/>
        <v>#VALUE!</v>
      </c>
      <c r="K31" s="529" t="e">
        <f t="shared" si="15"/>
        <v>#VALUE!</v>
      </c>
      <c r="L31" s="530" t="e">
        <f t="shared" si="9"/>
        <v>#VALUE!</v>
      </c>
      <c r="M31" s="529" t="e">
        <f t="shared" si="16"/>
        <v>#VALUE!</v>
      </c>
      <c r="N31" s="530" t="e">
        <f t="shared" si="10"/>
        <v>#VALUE!</v>
      </c>
      <c r="O31" s="529" t="e">
        <f t="shared" si="17"/>
        <v>#VALUE!</v>
      </c>
      <c r="P31" s="530" t="e">
        <f t="shared" si="11"/>
        <v>#VALUE!</v>
      </c>
      <c r="Q31" s="529">
        <f>D31*F31</f>
        <v>0</v>
      </c>
      <c r="R31" s="530" t="e">
        <f t="shared" si="18"/>
        <v>#VALUE!</v>
      </c>
      <c r="S31" s="562"/>
      <c r="T31" s="525"/>
      <c r="U31" s="524"/>
      <c r="V31" s="525"/>
      <c r="W31" s="4"/>
    </row>
    <row r="32" spans="1:24" x14ac:dyDescent="0.2">
      <c r="A32" s="2"/>
      <c r="B32" s="555" t="s">
        <v>46</v>
      </c>
      <c r="C32" s="556" t="s">
        <v>47</v>
      </c>
      <c r="D32" s="528">
        <f>B1_Kalkulation!L41</f>
        <v>0</v>
      </c>
      <c r="E32" s="518" t="e">
        <f t="shared" si="12"/>
        <v>#VALUE!</v>
      </c>
      <c r="F32" s="518">
        <v>1</v>
      </c>
      <c r="G32" s="529" t="e">
        <f t="shared" si="13"/>
        <v>#VALUE!</v>
      </c>
      <c r="H32" s="530" t="e">
        <f t="shared" si="7"/>
        <v>#VALUE!</v>
      </c>
      <c r="I32" s="547" t="e">
        <f t="shared" si="14"/>
        <v>#VALUE!</v>
      </c>
      <c r="J32" s="530" t="e">
        <f t="shared" si="8"/>
        <v>#VALUE!</v>
      </c>
      <c r="K32" s="529" t="e">
        <f t="shared" si="15"/>
        <v>#VALUE!</v>
      </c>
      <c r="L32" s="530" t="e">
        <f t="shared" si="9"/>
        <v>#VALUE!</v>
      </c>
      <c r="M32" s="529" t="e">
        <f t="shared" si="16"/>
        <v>#VALUE!</v>
      </c>
      <c r="N32" s="530" t="e">
        <f t="shared" si="10"/>
        <v>#VALUE!</v>
      </c>
      <c r="O32" s="529" t="e">
        <f t="shared" si="17"/>
        <v>#VALUE!</v>
      </c>
      <c r="P32" s="530" t="e">
        <f>O32/$P$11</f>
        <v>#VALUE!</v>
      </c>
      <c r="Q32" s="559"/>
      <c r="R32" s="539"/>
      <c r="S32" s="524"/>
      <c r="T32" s="525"/>
      <c r="U32" s="524"/>
      <c r="V32" s="525"/>
      <c r="W32" s="4"/>
    </row>
    <row r="33" spans="1:25" x14ac:dyDescent="0.2">
      <c r="A33" s="2"/>
      <c r="B33" s="563" t="s">
        <v>48</v>
      </c>
      <c r="C33" s="556" t="s">
        <v>49</v>
      </c>
      <c r="D33" s="528">
        <f>B1_Kalkulation!L42</f>
        <v>0</v>
      </c>
      <c r="E33" s="518" t="e">
        <f t="shared" si="12"/>
        <v>#VALUE!</v>
      </c>
      <c r="F33" s="518">
        <v>0.5</v>
      </c>
      <c r="G33" s="529" t="e">
        <f t="shared" si="13"/>
        <v>#VALUE!</v>
      </c>
      <c r="H33" s="530" t="e">
        <f t="shared" si="7"/>
        <v>#VALUE!</v>
      </c>
      <c r="I33" s="547" t="e">
        <f t="shared" si="14"/>
        <v>#VALUE!</v>
      </c>
      <c r="J33" s="530" t="e">
        <f t="shared" si="8"/>
        <v>#VALUE!</v>
      </c>
      <c r="K33" s="529" t="e">
        <f t="shared" si="15"/>
        <v>#VALUE!</v>
      </c>
      <c r="L33" s="530" t="e">
        <f t="shared" si="9"/>
        <v>#VALUE!</v>
      </c>
      <c r="M33" s="529" t="e">
        <f t="shared" si="16"/>
        <v>#VALUE!</v>
      </c>
      <c r="N33" s="530" t="e">
        <f t="shared" si="10"/>
        <v>#VALUE!</v>
      </c>
      <c r="O33" s="529" t="e">
        <f t="shared" si="17"/>
        <v>#VALUE!</v>
      </c>
      <c r="P33" s="530" t="e">
        <f t="shared" si="11"/>
        <v>#VALUE!</v>
      </c>
      <c r="Q33" s="529">
        <f>D33*F33</f>
        <v>0</v>
      </c>
      <c r="R33" s="530" t="e">
        <f t="shared" si="18"/>
        <v>#VALUE!</v>
      </c>
      <c r="S33" s="562"/>
      <c r="T33" s="525"/>
      <c r="U33" s="524"/>
      <c r="V33" s="525"/>
      <c r="W33" s="4"/>
    </row>
    <row r="34" spans="1:25" x14ac:dyDescent="0.2">
      <c r="A34" s="2"/>
      <c r="B34" s="563" t="s">
        <v>50</v>
      </c>
      <c r="C34" s="556" t="s">
        <v>299</v>
      </c>
      <c r="D34" s="528">
        <f>B1_Kalkulation!L43</f>
        <v>0</v>
      </c>
      <c r="E34" s="518" t="e">
        <f t="shared" si="12"/>
        <v>#VALUE!</v>
      </c>
      <c r="F34" s="518">
        <v>0.5</v>
      </c>
      <c r="G34" s="529" t="e">
        <f t="shared" si="13"/>
        <v>#VALUE!</v>
      </c>
      <c r="H34" s="530" t="e">
        <f t="shared" si="7"/>
        <v>#VALUE!</v>
      </c>
      <c r="I34" s="547" t="e">
        <f t="shared" si="14"/>
        <v>#VALUE!</v>
      </c>
      <c r="J34" s="530" t="e">
        <f t="shared" si="8"/>
        <v>#VALUE!</v>
      </c>
      <c r="K34" s="529" t="e">
        <f t="shared" si="15"/>
        <v>#VALUE!</v>
      </c>
      <c r="L34" s="530" t="e">
        <f t="shared" si="9"/>
        <v>#VALUE!</v>
      </c>
      <c r="M34" s="529" t="e">
        <f t="shared" si="16"/>
        <v>#VALUE!</v>
      </c>
      <c r="N34" s="530" t="e">
        <f t="shared" si="10"/>
        <v>#VALUE!</v>
      </c>
      <c r="O34" s="529" t="e">
        <f t="shared" si="17"/>
        <v>#VALUE!</v>
      </c>
      <c r="P34" s="530" t="e">
        <f t="shared" si="11"/>
        <v>#VALUE!</v>
      </c>
      <c r="Q34" s="529">
        <f>D34*F34</f>
        <v>0</v>
      </c>
      <c r="R34" s="530" t="e">
        <f t="shared" si="18"/>
        <v>#VALUE!</v>
      </c>
      <c r="S34" s="562"/>
      <c r="T34" s="525"/>
      <c r="U34" s="524"/>
      <c r="V34" s="525"/>
      <c r="W34" s="4"/>
    </row>
    <row r="35" spans="1:25" x14ac:dyDescent="0.2">
      <c r="A35" s="2"/>
      <c r="B35" s="563" t="s">
        <v>52</v>
      </c>
      <c r="C35" s="564" t="s">
        <v>300</v>
      </c>
      <c r="D35" s="528">
        <f>B1_Kalkulation!L44</f>
        <v>0</v>
      </c>
      <c r="E35" s="518" t="e">
        <f t="shared" si="12"/>
        <v>#VALUE!</v>
      </c>
      <c r="F35" s="518">
        <v>0.5</v>
      </c>
      <c r="G35" s="529" t="e">
        <f t="shared" si="13"/>
        <v>#VALUE!</v>
      </c>
      <c r="H35" s="530" t="e">
        <f t="shared" si="7"/>
        <v>#VALUE!</v>
      </c>
      <c r="I35" s="547" t="e">
        <f t="shared" si="14"/>
        <v>#VALUE!</v>
      </c>
      <c r="J35" s="530" t="e">
        <f t="shared" si="8"/>
        <v>#VALUE!</v>
      </c>
      <c r="K35" s="529" t="e">
        <f t="shared" si="15"/>
        <v>#VALUE!</v>
      </c>
      <c r="L35" s="530" t="e">
        <f t="shared" si="9"/>
        <v>#VALUE!</v>
      </c>
      <c r="M35" s="529" t="e">
        <f t="shared" si="16"/>
        <v>#VALUE!</v>
      </c>
      <c r="N35" s="530" t="e">
        <f t="shared" si="10"/>
        <v>#VALUE!</v>
      </c>
      <c r="O35" s="529" t="e">
        <f t="shared" si="17"/>
        <v>#VALUE!</v>
      </c>
      <c r="P35" s="530" t="e">
        <f t="shared" si="11"/>
        <v>#VALUE!</v>
      </c>
      <c r="Q35" s="529">
        <f>D35*F35</f>
        <v>0</v>
      </c>
      <c r="R35" s="530" t="e">
        <f t="shared" si="18"/>
        <v>#VALUE!</v>
      </c>
      <c r="S35" s="562"/>
      <c r="T35" s="525"/>
      <c r="U35" s="524"/>
      <c r="V35" s="525"/>
      <c r="W35" s="4"/>
    </row>
    <row r="36" spans="1:25" x14ac:dyDescent="0.2">
      <c r="A36" s="2"/>
      <c r="B36" s="563" t="s">
        <v>54</v>
      </c>
      <c r="C36" s="767" t="s">
        <v>55</v>
      </c>
      <c r="D36" s="528">
        <f>B1_Kalkulation!L45</f>
        <v>0</v>
      </c>
      <c r="E36" s="518" t="e">
        <f t="shared" si="12"/>
        <v>#VALUE!</v>
      </c>
      <c r="F36" s="518">
        <v>0.5</v>
      </c>
      <c r="G36" s="529" t="e">
        <f>D36*F36/$N$6*$H$11</f>
        <v>#VALUE!</v>
      </c>
      <c r="H36" s="530" t="e">
        <f>G36/$H$11</f>
        <v>#VALUE!</v>
      </c>
      <c r="I36" s="547" t="e">
        <f t="shared" si="14"/>
        <v>#VALUE!</v>
      </c>
      <c r="J36" s="530" t="e">
        <f t="shared" si="8"/>
        <v>#VALUE!</v>
      </c>
      <c r="K36" s="529" t="e">
        <f t="shared" si="15"/>
        <v>#VALUE!</v>
      </c>
      <c r="L36" s="530" t="e">
        <f t="shared" si="9"/>
        <v>#VALUE!</v>
      </c>
      <c r="M36" s="529" t="e">
        <f t="shared" si="16"/>
        <v>#VALUE!</v>
      </c>
      <c r="N36" s="530" t="e">
        <f t="shared" si="10"/>
        <v>#VALUE!</v>
      </c>
      <c r="O36" s="529" t="e">
        <f t="shared" si="17"/>
        <v>#VALUE!</v>
      </c>
      <c r="P36" s="530" t="e">
        <f t="shared" si="11"/>
        <v>#VALUE!</v>
      </c>
      <c r="Q36" s="529">
        <f>D36*F36</f>
        <v>0</v>
      </c>
      <c r="R36" s="530" t="e">
        <f t="shared" si="18"/>
        <v>#VALUE!</v>
      </c>
      <c r="S36" s="562"/>
      <c r="T36" s="525"/>
      <c r="U36" s="524"/>
      <c r="V36" s="525"/>
      <c r="W36" s="4"/>
    </row>
    <row r="37" spans="1:25" x14ac:dyDescent="0.2">
      <c r="A37" s="2"/>
      <c r="D37" s="551"/>
      <c r="E37" s="552"/>
      <c r="F37" s="552"/>
      <c r="G37" s="540"/>
      <c r="H37" s="525"/>
      <c r="I37" s="540"/>
      <c r="J37" s="525"/>
      <c r="K37" s="540"/>
      <c r="L37" s="565"/>
      <c r="M37" s="540"/>
      <c r="N37" s="565"/>
      <c r="O37" s="540"/>
      <c r="P37" s="565"/>
      <c r="Q37" s="540"/>
      <c r="R37" s="525"/>
      <c r="S37" s="524"/>
      <c r="T37" s="525"/>
      <c r="U37" s="524"/>
      <c r="V37" s="525"/>
      <c r="W37" s="4"/>
    </row>
    <row r="38" spans="1:25" x14ac:dyDescent="0.2">
      <c r="A38" s="2"/>
      <c r="B38" s="566" t="s">
        <v>95</v>
      </c>
      <c r="C38" s="567" t="s">
        <v>96</v>
      </c>
      <c r="D38" s="516">
        <f t="shared" ref="D38:Q38" si="19">SUM(D39:D45)</f>
        <v>0</v>
      </c>
      <c r="E38" s="518" t="e">
        <f>SUM(E39:E45)</f>
        <v>#VALUE!</v>
      </c>
      <c r="F38" s="518"/>
      <c r="G38" s="519" t="e">
        <f t="shared" si="19"/>
        <v>#VALUE!</v>
      </c>
      <c r="H38" s="520" t="e">
        <f t="shared" si="19"/>
        <v>#VALUE!</v>
      </c>
      <c r="I38" s="521" t="e">
        <f t="shared" si="19"/>
        <v>#VALUE!</v>
      </c>
      <c r="J38" s="520" t="e">
        <f t="shared" si="19"/>
        <v>#VALUE!</v>
      </c>
      <c r="K38" s="519" t="e">
        <f t="shared" si="19"/>
        <v>#VALUE!</v>
      </c>
      <c r="L38" s="520" t="e">
        <f t="shared" si="19"/>
        <v>#VALUE!</v>
      </c>
      <c r="M38" s="519" t="e">
        <f t="shared" ref="M38:P38" si="20">SUM(M39:M45)</f>
        <v>#VALUE!</v>
      </c>
      <c r="N38" s="520" t="e">
        <f t="shared" si="20"/>
        <v>#VALUE!</v>
      </c>
      <c r="O38" s="519" t="e">
        <f t="shared" si="20"/>
        <v>#VALUE!</v>
      </c>
      <c r="P38" s="520" t="e">
        <f t="shared" si="20"/>
        <v>#VALUE!</v>
      </c>
      <c r="Q38" s="522">
        <f t="shared" si="19"/>
        <v>0</v>
      </c>
      <c r="R38" s="523" t="e">
        <f>SUM(R39:R45)</f>
        <v>#VALUE!</v>
      </c>
      <c r="S38" s="524"/>
      <c r="T38" s="525"/>
      <c r="U38" s="524"/>
      <c r="V38" s="525"/>
      <c r="W38" s="4"/>
    </row>
    <row r="39" spans="1:25" x14ac:dyDescent="0.2">
      <c r="A39" s="2"/>
      <c r="B39" s="568" t="str">
        <f>B1_Kalkulation!H49</f>
        <v>3.1.</v>
      </c>
      <c r="C39" s="569" t="s">
        <v>301</v>
      </c>
      <c r="D39" s="528">
        <f>B1_Kalkulation!L49</f>
        <v>0</v>
      </c>
      <c r="E39" s="518" t="e">
        <f t="shared" ref="E39:E45" si="21">G39+I39+K39+M39+O39+Q39</f>
        <v>#VALUE!</v>
      </c>
      <c r="F39" s="518">
        <v>0.5</v>
      </c>
      <c r="G39" s="529" t="e">
        <f>D39*F39/$N$6*$H$11</f>
        <v>#VALUE!</v>
      </c>
      <c r="H39" s="530" t="e">
        <f t="shared" ref="H39:H45" si="22">G39/$H$11</f>
        <v>#VALUE!</v>
      </c>
      <c r="I39" s="547" t="e">
        <f>D39*F39/$N$6*$J$11</f>
        <v>#VALUE!</v>
      </c>
      <c r="J39" s="530" t="e">
        <f t="shared" ref="J39:J45" si="23">I39/$J$11</f>
        <v>#VALUE!</v>
      </c>
      <c r="K39" s="529" t="e">
        <f>D39*F39/$N$6*$L$11</f>
        <v>#VALUE!</v>
      </c>
      <c r="L39" s="530" t="e">
        <f t="shared" ref="L39:L45" si="24">K39/$L$11</f>
        <v>#VALUE!</v>
      </c>
      <c r="M39" s="529" t="e">
        <f>D39*F39/$N$6*$N$11</f>
        <v>#VALUE!</v>
      </c>
      <c r="N39" s="530" t="e">
        <f t="shared" ref="N39:N45" si="25">M39/$N$11</f>
        <v>#VALUE!</v>
      </c>
      <c r="O39" s="529" t="e">
        <f>D39*F39/$N$6*$P$11</f>
        <v>#VALUE!</v>
      </c>
      <c r="P39" s="530" t="e">
        <f t="shared" ref="P39:P45" si="26">O39/$P$11</f>
        <v>#VALUE!</v>
      </c>
      <c r="Q39" s="529">
        <f>D39*F39</f>
        <v>0</v>
      </c>
      <c r="R39" s="530" t="e">
        <f>Q39/$N$6</f>
        <v>#VALUE!</v>
      </c>
      <c r="S39" s="570"/>
      <c r="T39" s="571"/>
      <c r="U39" s="572"/>
      <c r="V39" s="571"/>
      <c r="W39" s="4"/>
      <c r="X39" s="476"/>
      <c r="Y39" s="476"/>
    </row>
    <row r="40" spans="1:25" x14ac:dyDescent="0.2">
      <c r="A40" s="2"/>
      <c r="B40" s="568" t="str">
        <f>B1_Kalkulation!H50</f>
        <v>3.2.</v>
      </c>
      <c r="C40" s="573" t="str">
        <f>B1_Kalkulation!I50</f>
        <v>Wäscherei</v>
      </c>
      <c r="D40" s="528">
        <f>B1_Kalkulation!L50</f>
        <v>0</v>
      </c>
      <c r="E40" s="518" t="e">
        <f t="shared" si="21"/>
        <v>#VALUE!</v>
      </c>
      <c r="F40" s="518">
        <v>0.5</v>
      </c>
      <c r="G40" s="529" t="e">
        <f t="shared" ref="G40:G45" si="27">D40*F40/$N$6*$H$11</f>
        <v>#VALUE!</v>
      </c>
      <c r="H40" s="530" t="e">
        <f t="shared" si="22"/>
        <v>#VALUE!</v>
      </c>
      <c r="I40" s="547" t="e">
        <f t="shared" ref="I40:I45" si="28">D40*F40/$N$6*$J$11</f>
        <v>#VALUE!</v>
      </c>
      <c r="J40" s="530" t="e">
        <f t="shared" si="23"/>
        <v>#VALUE!</v>
      </c>
      <c r="K40" s="529" t="e">
        <f t="shared" ref="K40:K45" si="29">D40*F40/$N$6*$L$11</f>
        <v>#VALUE!</v>
      </c>
      <c r="L40" s="530" t="e">
        <f t="shared" si="24"/>
        <v>#VALUE!</v>
      </c>
      <c r="M40" s="529" t="e">
        <f t="shared" ref="M40:M45" si="30">D40*F40/$N$6*$N$11</f>
        <v>#VALUE!</v>
      </c>
      <c r="N40" s="530" t="e">
        <f t="shared" si="25"/>
        <v>#VALUE!</v>
      </c>
      <c r="O40" s="529" t="e">
        <f t="shared" ref="O40:O45" si="31">D40*F40/$N$6*$P$11</f>
        <v>#VALUE!</v>
      </c>
      <c r="P40" s="530" t="e">
        <f t="shared" si="26"/>
        <v>#VALUE!</v>
      </c>
      <c r="Q40" s="529">
        <f t="shared" ref="Q40:Q45" si="32">D40*F40</f>
        <v>0</v>
      </c>
      <c r="R40" s="530" t="e">
        <f t="shared" ref="R40:R45" si="33">Q40/$N$6</f>
        <v>#VALUE!</v>
      </c>
      <c r="S40" s="574"/>
      <c r="T40" s="571"/>
      <c r="U40" s="572"/>
      <c r="V40" s="571"/>
      <c r="W40" s="575"/>
      <c r="X40" s="476"/>
      <c r="Y40" s="476"/>
    </row>
    <row r="41" spans="1:25" x14ac:dyDescent="0.2">
      <c r="A41" s="2"/>
      <c r="B41" s="568" t="str">
        <f>B1_Kalkulation!H51</f>
        <v>3.3.</v>
      </c>
      <c r="C41" s="573" t="str">
        <f>B1_Kalkulation!I51</f>
        <v>Wäschekennzeichnung</v>
      </c>
      <c r="D41" s="528">
        <f>B1_Kalkulation!L51</f>
        <v>0</v>
      </c>
      <c r="E41" s="576" t="e">
        <f>G41+I41+K41+M41+O41+Q41</f>
        <v>#VALUE!</v>
      </c>
      <c r="F41" s="518">
        <v>0.5</v>
      </c>
      <c r="G41" s="529" t="e">
        <f t="shared" si="27"/>
        <v>#VALUE!</v>
      </c>
      <c r="H41" s="530" t="e">
        <f t="shared" si="22"/>
        <v>#VALUE!</v>
      </c>
      <c r="I41" s="547" t="e">
        <f t="shared" si="28"/>
        <v>#VALUE!</v>
      </c>
      <c r="J41" s="530" t="e">
        <f t="shared" si="23"/>
        <v>#VALUE!</v>
      </c>
      <c r="K41" s="529" t="e">
        <f t="shared" si="29"/>
        <v>#VALUE!</v>
      </c>
      <c r="L41" s="530" t="e">
        <f t="shared" si="24"/>
        <v>#VALUE!</v>
      </c>
      <c r="M41" s="529" t="e">
        <f t="shared" si="30"/>
        <v>#VALUE!</v>
      </c>
      <c r="N41" s="530" t="e">
        <f t="shared" si="25"/>
        <v>#VALUE!</v>
      </c>
      <c r="O41" s="529" t="e">
        <f t="shared" si="31"/>
        <v>#VALUE!</v>
      </c>
      <c r="P41" s="530" t="e">
        <f t="shared" si="26"/>
        <v>#VALUE!</v>
      </c>
      <c r="Q41" s="529">
        <f t="shared" si="32"/>
        <v>0</v>
      </c>
      <c r="R41" s="530" t="e">
        <f t="shared" si="33"/>
        <v>#VALUE!</v>
      </c>
      <c r="S41" s="574"/>
      <c r="T41" s="571"/>
      <c r="U41" s="572"/>
      <c r="V41" s="571"/>
      <c r="W41" s="4"/>
    </row>
    <row r="42" spans="1:25" x14ac:dyDescent="0.2">
      <c r="A42" s="2"/>
      <c r="B42" s="568" t="str">
        <f>B1_Kalkulation!H52</f>
        <v>3.4.</v>
      </c>
      <c r="C42" s="573" t="str">
        <f>B1_Kalkulation!I52</f>
        <v>Reinigung</v>
      </c>
      <c r="D42" s="528">
        <f>B1_Kalkulation!L52</f>
        <v>0</v>
      </c>
      <c r="E42" s="518" t="e">
        <f t="shared" si="21"/>
        <v>#VALUE!</v>
      </c>
      <c r="F42" s="518">
        <v>0.5</v>
      </c>
      <c r="G42" s="529" t="e">
        <f t="shared" si="27"/>
        <v>#VALUE!</v>
      </c>
      <c r="H42" s="530" t="e">
        <f t="shared" si="22"/>
        <v>#VALUE!</v>
      </c>
      <c r="I42" s="547" t="e">
        <f t="shared" si="28"/>
        <v>#VALUE!</v>
      </c>
      <c r="J42" s="530" t="e">
        <f t="shared" si="23"/>
        <v>#VALUE!</v>
      </c>
      <c r="K42" s="529" t="e">
        <f t="shared" si="29"/>
        <v>#VALUE!</v>
      </c>
      <c r="L42" s="530" t="e">
        <f t="shared" si="24"/>
        <v>#VALUE!</v>
      </c>
      <c r="M42" s="529" t="e">
        <f t="shared" si="30"/>
        <v>#VALUE!</v>
      </c>
      <c r="N42" s="530" t="e">
        <f t="shared" si="25"/>
        <v>#VALUE!</v>
      </c>
      <c r="O42" s="529" t="e">
        <f t="shared" si="31"/>
        <v>#VALUE!</v>
      </c>
      <c r="P42" s="530" t="e">
        <f t="shared" si="26"/>
        <v>#VALUE!</v>
      </c>
      <c r="Q42" s="529">
        <f t="shared" si="32"/>
        <v>0</v>
      </c>
      <c r="R42" s="530" t="e">
        <f t="shared" si="33"/>
        <v>#VALUE!</v>
      </c>
      <c r="S42" s="577"/>
      <c r="T42" s="578"/>
      <c r="U42" s="579"/>
      <c r="V42" s="578"/>
      <c r="W42" s="4"/>
      <c r="X42" s="454"/>
    </row>
    <row r="43" spans="1:25" x14ac:dyDescent="0.2">
      <c r="A43" s="2"/>
      <c r="B43" s="568" t="str">
        <f>B1_Kalkulation!H53</f>
        <v>3.5.</v>
      </c>
      <c r="C43" s="573" t="str">
        <f>B1_Kalkulation!I53</f>
        <v>Verwaltung</v>
      </c>
      <c r="D43" s="528">
        <f>B1_Kalkulation!L53</f>
        <v>0</v>
      </c>
      <c r="E43" s="518" t="e">
        <f t="shared" si="21"/>
        <v>#VALUE!</v>
      </c>
      <c r="F43" s="518">
        <v>0.5</v>
      </c>
      <c r="G43" s="529" t="e">
        <f t="shared" si="27"/>
        <v>#VALUE!</v>
      </c>
      <c r="H43" s="530" t="e">
        <f t="shared" si="22"/>
        <v>#VALUE!</v>
      </c>
      <c r="I43" s="547" t="e">
        <f t="shared" si="28"/>
        <v>#VALUE!</v>
      </c>
      <c r="J43" s="530" t="e">
        <f t="shared" si="23"/>
        <v>#VALUE!</v>
      </c>
      <c r="K43" s="529" t="e">
        <f t="shared" si="29"/>
        <v>#VALUE!</v>
      </c>
      <c r="L43" s="530" t="e">
        <f t="shared" si="24"/>
        <v>#VALUE!</v>
      </c>
      <c r="M43" s="529" t="e">
        <f t="shared" si="30"/>
        <v>#VALUE!</v>
      </c>
      <c r="N43" s="530" t="e">
        <f t="shared" si="25"/>
        <v>#VALUE!</v>
      </c>
      <c r="O43" s="529" t="e">
        <f t="shared" si="31"/>
        <v>#VALUE!</v>
      </c>
      <c r="P43" s="530" t="e">
        <f t="shared" si="26"/>
        <v>#VALUE!</v>
      </c>
      <c r="Q43" s="529">
        <f t="shared" si="32"/>
        <v>0</v>
      </c>
      <c r="R43" s="530" t="e">
        <f t="shared" si="33"/>
        <v>#VALUE!</v>
      </c>
      <c r="S43" s="524"/>
      <c r="T43" s="525"/>
      <c r="U43" s="524"/>
      <c r="V43" s="525"/>
      <c r="W43" s="4"/>
    </row>
    <row r="44" spans="1:25" x14ac:dyDescent="0.2">
      <c r="A44" s="2"/>
      <c r="B44" s="568" t="str">
        <f>B1_Kalkulation!H54</f>
        <v>3.6.</v>
      </c>
      <c r="C44" s="573" t="str">
        <f>B1_Kalkulation!I54</f>
        <v>Haustechnik</v>
      </c>
      <c r="D44" s="528">
        <f>B1_Kalkulation!L54</f>
        <v>0</v>
      </c>
      <c r="E44" s="518" t="e">
        <f t="shared" si="21"/>
        <v>#VALUE!</v>
      </c>
      <c r="F44" s="518">
        <v>0.5</v>
      </c>
      <c r="G44" s="529" t="e">
        <f t="shared" si="27"/>
        <v>#VALUE!</v>
      </c>
      <c r="H44" s="530" t="e">
        <f t="shared" si="22"/>
        <v>#VALUE!</v>
      </c>
      <c r="I44" s="547" t="e">
        <f t="shared" si="28"/>
        <v>#VALUE!</v>
      </c>
      <c r="J44" s="530" t="e">
        <f t="shared" si="23"/>
        <v>#VALUE!</v>
      </c>
      <c r="K44" s="529" t="e">
        <f t="shared" si="29"/>
        <v>#VALUE!</v>
      </c>
      <c r="L44" s="530" t="e">
        <f t="shared" si="24"/>
        <v>#VALUE!</v>
      </c>
      <c r="M44" s="529" t="e">
        <f t="shared" si="30"/>
        <v>#VALUE!</v>
      </c>
      <c r="N44" s="530" t="e">
        <f t="shared" si="25"/>
        <v>#VALUE!</v>
      </c>
      <c r="O44" s="529" t="e">
        <f t="shared" si="31"/>
        <v>#VALUE!</v>
      </c>
      <c r="P44" s="530" t="e">
        <f t="shared" si="26"/>
        <v>#VALUE!</v>
      </c>
      <c r="Q44" s="529">
        <f t="shared" si="32"/>
        <v>0</v>
      </c>
      <c r="R44" s="530" t="e">
        <f t="shared" si="33"/>
        <v>#VALUE!</v>
      </c>
      <c r="S44" s="524"/>
      <c r="T44" s="525"/>
      <c r="U44" s="524"/>
      <c r="V44" s="525"/>
      <c r="W44" s="4"/>
      <c r="X44" s="472"/>
    </row>
    <row r="45" spans="1:25" x14ac:dyDescent="0.2">
      <c r="A45" s="2"/>
      <c r="B45" s="568" t="str">
        <f>B1_Kalkulation!H55</f>
        <v>3.7.</v>
      </c>
      <c r="C45" s="573" t="str">
        <f>B1_Kalkulation!I55</f>
        <v>sonstiges</v>
      </c>
      <c r="D45" s="528">
        <f>B1_Kalkulation!L55</f>
        <v>0</v>
      </c>
      <c r="E45" s="518" t="e">
        <f t="shared" si="21"/>
        <v>#VALUE!</v>
      </c>
      <c r="F45" s="518">
        <v>0.5</v>
      </c>
      <c r="G45" s="529" t="e">
        <f t="shared" si="27"/>
        <v>#VALUE!</v>
      </c>
      <c r="H45" s="530" t="e">
        <f t="shared" si="22"/>
        <v>#VALUE!</v>
      </c>
      <c r="I45" s="547" t="e">
        <f t="shared" si="28"/>
        <v>#VALUE!</v>
      </c>
      <c r="J45" s="530" t="e">
        <f t="shared" si="23"/>
        <v>#VALUE!</v>
      </c>
      <c r="K45" s="529" t="e">
        <f t="shared" si="29"/>
        <v>#VALUE!</v>
      </c>
      <c r="L45" s="530" t="e">
        <f t="shared" si="24"/>
        <v>#VALUE!</v>
      </c>
      <c r="M45" s="529" t="e">
        <f t="shared" si="30"/>
        <v>#VALUE!</v>
      </c>
      <c r="N45" s="530" t="e">
        <f t="shared" si="25"/>
        <v>#VALUE!</v>
      </c>
      <c r="O45" s="529" t="e">
        <f t="shared" si="31"/>
        <v>#VALUE!</v>
      </c>
      <c r="P45" s="530" t="e">
        <f t="shared" si="26"/>
        <v>#VALUE!</v>
      </c>
      <c r="Q45" s="529">
        <f t="shared" si="32"/>
        <v>0</v>
      </c>
      <c r="R45" s="530" t="e">
        <f t="shared" si="33"/>
        <v>#VALUE!</v>
      </c>
      <c r="S45" s="524"/>
      <c r="T45" s="525"/>
      <c r="U45" s="524"/>
      <c r="V45" s="525"/>
      <c r="W45" s="4"/>
      <c r="X45" s="580"/>
    </row>
    <row r="46" spans="1:25" x14ac:dyDescent="0.2">
      <c r="A46" s="2"/>
      <c r="D46" s="581"/>
      <c r="E46" s="524"/>
      <c r="F46" s="524"/>
      <c r="G46" s="582"/>
      <c r="H46" s="583"/>
      <c r="I46" s="584"/>
      <c r="J46" s="583"/>
      <c r="K46" s="585"/>
      <c r="L46" s="586"/>
      <c r="M46" s="582"/>
      <c r="N46" s="586"/>
      <c r="O46" s="582"/>
      <c r="P46" s="586"/>
      <c r="Q46" s="540"/>
      <c r="R46" s="525"/>
      <c r="S46" s="524"/>
      <c r="T46" s="525"/>
      <c r="U46" s="524"/>
      <c r="V46" s="525"/>
      <c r="W46" s="4"/>
      <c r="X46" s="580"/>
    </row>
    <row r="47" spans="1:25" x14ac:dyDescent="0.2">
      <c r="A47" s="2"/>
      <c r="B47" s="587"/>
      <c r="C47" s="514" t="str">
        <f>IF('B1_Allgemeine Angaben'!D7&lt;&gt;"vst","errechnete Aufwendungen:","errechnete Aufwendungen nach Pflegegrad 2 bis 5:")</f>
        <v>errechnete Aufwendungen:</v>
      </c>
      <c r="D47" s="528">
        <f>I47+K47+M47+O47</f>
        <v>0</v>
      </c>
      <c r="E47" s="518" t="e">
        <f>D38+D26+D16-Q16-Q26-Q38-S26-G47</f>
        <v>#VALUE!</v>
      </c>
      <c r="F47" s="518"/>
      <c r="G47" s="588" t="e">
        <f>H47*H11</f>
        <v>#VALUE!</v>
      </c>
      <c r="H47" s="589">
        <f>IF(B1_Kalkulation!H14=0,ROUND(B1_Gesamtkalkulation!J51*0.78,2),ROUND((B1_Gesamtkalkulation!H16+B1_Gesamtkalkulation!H26+B1_Gesamtkalkulation!H38),2))</f>
        <v>0</v>
      </c>
      <c r="I47" s="590">
        <f>IFERROR(J47*J11,0)</f>
        <v>0</v>
      </c>
      <c r="J47" s="591" t="str">
        <f>IF(ISERROR(J38+J26+J16),"",(J38+J26+J16))</f>
        <v/>
      </c>
      <c r="K47" s="590">
        <f>IFERROR(L47*L11,0)</f>
        <v>0</v>
      </c>
      <c r="L47" s="591" t="str">
        <f>IF(ISERROR(L38+L26+L16),"",((L38+L26+L16)))</f>
        <v/>
      </c>
      <c r="M47" s="590">
        <f>IFERROR(N47*N11,0)</f>
        <v>0</v>
      </c>
      <c r="N47" s="591" t="str">
        <f>IF(ISERROR(N38+N26+N16),"",(N38+N26+N16))</f>
        <v/>
      </c>
      <c r="O47" s="590">
        <f>IFERROR(P47*P11,0)</f>
        <v>0</v>
      </c>
      <c r="P47" s="591" t="str">
        <f>IF(ISERROR(P38+P26+P16),"",(P38+P26+P16))</f>
        <v/>
      </c>
      <c r="Q47" s="592"/>
      <c r="R47" s="525"/>
      <c r="S47" s="593"/>
      <c r="T47" s="525"/>
      <c r="U47" s="524"/>
      <c r="V47" s="525"/>
      <c r="W47" s="4"/>
      <c r="X47" s="459"/>
    </row>
    <row r="48" spans="1:25" x14ac:dyDescent="0.2">
      <c r="A48" s="2"/>
      <c r="B48" s="587"/>
      <c r="C48" s="514" t="s">
        <v>97</v>
      </c>
      <c r="D48" s="528" t="str">
        <f>IF('B1_Allgemeine Angaben'!D7="vst",(((J12*J10)+(L12*L10)+(N12*N10)+(P12*P10))*12)*$L$6/100,"")</f>
        <v/>
      </c>
      <c r="E48" s="518" t="str">
        <f>IF('B1_Allgemeine Angaben'!D7="vst",I48+K48+M48+O48,"")</f>
        <v/>
      </c>
      <c r="F48" s="518"/>
      <c r="G48" s="529"/>
      <c r="H48" s="530"/>
      <c r="I48" s="590" t="str">
        <f>IF('B1_Allgemeine Angaben'!D7="vst",J12/($P$6)*J11,"")</f>
        <v/>
      </c>
      <c r="J48" s="591" t="str">
        <f>IF('B1_Allgemeine Angaben'!D7="vst",I48/J11,"")</f>
        <v/>
      </c>
      <c r="K48" s="590" t="str">
        <f>IF('B1_Allgemeine Angaben'!D7="vst",L12/($P$6)*L11,"")</f>
        <v/>
      </c>
      <c r="L48" s="591" t="str">
        <f>IF('B1_Allgemeine Angaben'!D7="vst",K48/L11,"")</f>
        <v/>
      </c>
      <c r="M48" s="590" t="str">
        <f>IF('B1_Allgemeine Angaben'!D7="vst",N12/($P$6)*N11,"")</f>
        <v/>
      </c>
      <c r="N48" s="591" t="str">
        <f>IF('B1_Allgemeine Angaben'!D7="vst",M48/N11,"")</f>
        <v/>
      </c>
      <c r="O48" s="590" t="str">
        <f>IF('B1_Allgemeine Angaben'!D7="vst",P12/($P$6)*P11,"")</f>
        <v/>
      </c>
      <c r="P48" s="591" t="str">
        <f>IF('B1_Allgemeine Angaben'!D7="vst",O48/P11,"")</f>
        <v/>
      </c>
      <c r="Q48" s="592"/>
      <c r="R48" s="525"/>
      <c r="S48" s="593"/>
      <c r="T48" s="594"/>
      <c r="U48" s="595"/>
      <c r="V48" s="594"/>
      <c r="W48" s="4"/>
      <c r="X48" s="596"/>
    </row>
    <row r="49" spans="1:41" x14ac:dyDescent="0.2">
      <c r="A49" s="2"/>
      <c r="B49" s="587"/>
      <c r="C49" s="514" t="s">
        <v>98</v>
      </c>
      <c r="D49" s="528" t="str">
        <f>IF('B1_Allgemeine Angaben'!D7="vst",D47-D48,"")</f>
        <v/>
      </c>
      <c r="E49" s="518" t="str">
        <f>IF('B1_Allgemeine Angaben'!D7="vst",I49+K49+M49+O49,"")</f>
        <v/>
      </c>
      <c r="F49" s="518"/>
      <c r="G49" s="529"/>
      <c r="H49" s="530"/>
      <c r="I49" s="590" t="str">
        <f>IF('B1_Allgemeine Angaben'!D7="vst",(I47-I48),"")</f>
        <v/>
      </c>
      <c r="J49" s="591" t="str">
        <f>IF('B1_Allgemeine Angaben'!$D$7="vst",ROUND($D$49/eeadivisor,2),"")</f>
        <v/>
      </c>
      <c r="K49" s="590" t="str">
        <f>IF('B1_Allgemeine Angaben'!D7="vst",(K47-K48),"")</f>
        <v/>
      </c>
      <c r="L49" s="591" t="str">
        <f>IF('B1_Allgemeine Angaben'!$D$7="vst",ROUND($D$49/eeadivisor,2),"")</f>
        <v/>
      </c>
      <c r="M49" s="590" t="str">
        <f>IF('B1_Allgemeine Angaben'!D7="vst",(M47-M48),"")</f>
        <v/>
      </c>
      <c r="N49" s="591" t="str">
        <f>IF('B1_Allgemeine Angaben'!$D$7="vst",ROUND($D$49/eeadivisor,2),"")</f>
        <v/>
      </c>
      <c r="O49" s="590" t="str">
        <f>IF('B1_Allgemeine Angaben'!D7="vst",(O47-O48),"")</f>
        <v/>
      </c>
      <c r="P49" s="591" t="str">
        <f>IF('B1_Allgemeine Angaben'!$D$7="vst",ROUND($D$49/eeadivisor,2),"")</f>
        <v/>
      </c>
      <c r="Q49" s="592"/>
      <c r="R49" s="597" t="s">
        <v>102</v>
      </c>
      <c r="S49" s="593"/>
      <c r="T49" s="594"/>
      <c r="U49" s="595"/>
      <c r="V49" s="594"/>
      <c r="W49" s="4"/>
    </row>
    <row r="50" spans="1:41" ht="15" thickBot="1" x14ac:dyDescent="0.25">
      <c r="A50" s="2"/>
      <c r="G50" s="489"/>
      <c r="H50" s="598"/>
      <c r="I50" s="599"/>
      <c r="J50" s="600"/>
      <c r="K50" s="599"/>
      <c r="L50" s="600"/>
      <c r="M50" s="599"/>
      <c r="N50" s="600"/>
      <c r="O50" s="599"/>
      <c r="P50" s="600"/>
      <c r="Q50" s="599"/>
      <c r="S50" s="42"/>
      <c r="T50" s="598"/>
      <c r="U50" s="599"/>
      <c r="V50" s="598"/>
      <c r="W50" s="4"/>
    </row>
    <row r="51" spans="1:41" ht="15" thickBot="1" x14ac:dyDescent="0.25">
      <c r="A51" s="2"/>
      <c r="D51" s="6" t="s">
        <v>99</v>
      </c>
      <c r="F51" s="17"/>
      <c r="G51" s="6" t="s">
        <v>63</v>
      </c>
      <c r="H51" s="601">
        <f>IF(ISERROR(H47),"",H47)</f>
        <v>0</v>
      </c>
      <c r="I51" s="6" t="s">
        <v>64</v>
      </c>
      <c r="J51" s="601">
        <f>IF('B1_Allgemeine Angaben'!D7="vst",ROUND(J12/$P$6+J49,2),IF('B1_Allgemeine Angaben'!D7&lt;&gt;"vst",KAT!H32))</f>
        <v>0</v>
      </c>
      <c r="K51" s="6" t="s">
        <v>65</v>
      </c>
      <c r="L51" s="601">
        <f>IF('B1_Allgemeine Angaben'!D7="vst",ROUND(L12/$P$6+L49,2),IF('B1_Allgemeine Angaben'!D7&lt;&gt;"vst",KAT!H33))</f>
        <v>0</v>
      </c>
      <c r="M51" s="6" t="s">
        <v>66</v>
      </c>
      <c r="N51" s="601">
        <f>IF('B1_Allgemeine Angaben'!D7="vst",ROUND(N12/$P$6+N49,2),IF('B1_Allgemeine Angaben'!D7&lt;&gt;"vst",KAT!H34))</f>
        <v>0</v>
      </c>
      <c r="O51" s="6" t="s">
        <v>67</v>
      </c>
      <c r="P51" s="601">
        <f>IF('B1_Allgemeine Angaben'!D7="vst",ROUND(P12/$P$6+P49,2),IF('B1_Allgemeine Angaben'!D7&lt;&gt;"vst",KAT!H35))</f>
        <v>0</v>
      </c>
      <c r="Q51" s="6" t="s">
        <v>100</v>
      </c>
      <c r="R51" s="601" t="e">
        <f>ROUND(R38+R26+R16,2)</f>
        <v>#VALUE!</v>
      </c>
      <c r="S51" s="602" t="s">
        <v>101</v>
      </c>
      <c r="T51" s="601" t="e">
        <f>ROUND(T26,2)</f>
        <v>#VALUE!</v>
      </c>
      <c r="U51" s="603" t="s">
        <v>151</v>
      </c>
      <c r="V51" s="601" t="e">
        <f>IF('B1_Allgemeine Angaben'!D7="vst",V19-0.03,V19)</f>
        <v>#VALUE!</v>
      </c>
      <c r="W51" s="4"/>
      <c r="X51" s="11"/>
      <c r="Y51" s="470"/>
      <c r="AO51" s="604"/>
    </row>
    <row r="52" spans="1:41" ht="15.75" customHeight="1" x14ac:dyDescent="0.2">
      <c r="A52" s="2"/>
      <c r="D52" s="6"/>
      <c r="E52" s="598"/>
      <c r="F52" s="598"/>
      <c r="G52" s="605"/>
      <c r="H52" s="598"/>
      <c r="I52" s="482"/>
      <c r="J52" s="482"/>
      <c r="K52" s="482"/>
      <c r="L52" s="482"/>
      <c r="M52" s="482"/>
      <c r="N52" s="598"/>
      <c r="O52" s="598"/>
      <c r="P52" s="598"/>
      <c r="Q52" s="598"/>
      <c r="R52" s="598"/>
      <c r="S52" s="598"/>
      <c r="T52" s="598"/>
      <c r="U52" s="598"/>
      <c r="V52" s="598"/>
      <c r="W52" s="4"/>
      <c r="X52" s="606"/>
      <c r="Y52" s="607"/>
    </row>
    <row r="53" spans="1:41" x14ac:dyDescent="0.2">
      <c r="A53" s="2"/>
      <c r="B53" s="608" t="str">
        <f>IF('B1_Allgemeine Angaben'!M48&gt;0,"errechnete Pflegesätze (Tag je Platz) für angebundene / integrierte KZP:","")</f>
        <v/>
      </c>
      <c r="G53" s="6" t="str">
        <f>IF('B1_Allgemeine Angaben'!$M$48&gt;0,B1_Gesamtkalkulation!G51,"")</f>
        <v/>
      </c>
      <c r="H53" s="609">
        <f>IFERROR(IF(B1_Kalkulation!H14&gt;0,B1_Gesamtkalkulation!H47*0.96/0.8,J53*0.78),0)</f>
        <v>0</v>
      </c>
      <c r="I53" s="6" t="str">
        <f>IF('B1_Allgemeine Angaben'!$M$48&gt;0,B1_Gesamtkalkulation!I51,"")</f>
        <v/>
      </c>
      <c r="J53" s="609" t="str">
        <f>IFERROR(IF('B1_Allgemeine Angaben'!$M$48&gt;0,B1_Gesamtkalkulation!J47*0.96/0.8,""),0)</f>
        <v/>
      </c>
      <c r="K53" s="6" t="str">
        <f>IF('B1_Allgemeine Angaben'!$M$48&gt;0,B1_Gesamtkalkulation!K51,"")</f>
        <v/>
      </c>
      <c r="L53" s="609" t="str">
        <f>IFERROR(IF('B1_Allgemeine Angaben'!$M$48&gt;0,B1_Gesamtkalkulation!L47*0.96/0.8,""),0)</f>
        <v/>
      </c>
      <c r="M53" s="6" t="str">
        <f>IF('B1_Allgemeine Angaben'!$M$48&gt;0,B1_Gesamtkalkulation!M51,"")</f>
        <v/>
      </c>
      <c r="N53" s="609" t="str">
        <f>IFERROR(IF('B1_Allgemeine Angaben'!$M$48&gt;0,B1_Gesamtkalkulation!N47*0.96/0.8,""),0)</f>
        <v/>
      </c>
      <c r="O53" s="6" t="str">
        <f>IF('B1_Allgemeine Angaben'!$M$48&gt;0,B1_Gesamtkalkulation!O51,"")</f>
        <v/>
      </c>
      <c r="P53" s="609" t="str">
        <f>IFERROR(IF('B1_Allgemeine Angaben'!$M$48&gt;0,B1_Gesamtkalkulation!P47*0.96/0.8,""),0)</f>
        <v/>
      </c>
      <c r="Q53" s="6" t="str">
        <f>IF('B1_Allgemeine Angaben'!$M$48&gt;0,B1_Gesamtkalkulation!Q51,"")</f>
        <v/>
      </c>
      <c r="R53" s="609" t="str">
        <f>IFERROR(IF('B1_Allgemeine Angaben'!$M$48&gt;0,B1_Gesamtkalkulation!R51*0.96/0.8,""),0)</f>
        <v/>
      </c>
      <c r="S53" s="6" t="str">
        <f>IF('B1_Allgemeine Angaben'!$M$48&gt;0,B1_Gesamtkalkulation!S51,"")</f>
        <v/>
      </c>
      <c r="T53" s="609" t="str">
        <f>IFERROR(IF('B1_Allgemeine Angaben'!$M$48&gt;0,B1_Gesamtkalkulation!T51*0.96/0.8,""),0)</f>
        <v/>
      </c>
      <c r="V53" s="609" t="str">
        <f>IFERROR(IF('B1_Allgemeine Angaben'!$M$48&gt;0,B1_Gesamtkalkulation!V51+0.03,""),0)</f>
        <v/>
      </c>
      <c r="W53" s="4"/>
      <c r="Y53" s="607"/>
    </row>
    <row r="54" spans="1:41" x14ac:dyDescent="0.2">
      <c r="A54" s="35"/>
      <c r="B54" s="36"/>
      <c r="C54" s="610"/>
      <c r="D54" s="36"/>
      <c r="E54" s="36"/>
      <c r="F54" s="36"/>
      <c r="G54" s="611"/>
      <c r="H54" s="36"/>
      <c r="I54" s="611"/>
      <c r="J54" s="36"/>
      <c r="K54" s="611"/>
      <c r="L54" s="24"/>
      <c r="M54" s="611"/>
      <c r="N54" s="24"/>
      <c r="O54" s="611"/>
      <c r="P54" s="24"/>
      <c r="Q54" s="611"/>
      <c r="R54" s="36"/>
      <c r="S54" s="611"/>
      <c r="T54" s="36"/>
      <c r="U54" s="36"/>
      <c r="V54" s="36"/>
      <c r="W54" s="447"/>
      <c r="Y54" s="607"/>
    </row>
    <row r="55" spans="1:41" ht="15" thickBot="1" x14ac:dyDescent="0.25">
      <c r="C55" s="5"/>
      <c r="G55" s="6"/>
      <c r="I55" s="6"/>
      <c r="K55" s="6"/>
      <c r="L55" s="11"/>
      <c r="M55" s="6"/>
      <c r="N55" s="11"/>
      <c r="O55" s="6"/>
      <c r="P55" s="11"/>
      <c r="Q55" s="6"/>
      <c r="S55" s="6"/>
      <c r="Y55" s="607"/>
    </row>
    <row r="56" spans="1:41" ht="15" thickBot="1" x14ac:dyDescent="0.25">
      <c r="D56" s="612"/>
      <c r="E56" s="613"/>
      <c r="F56" s="613"/>
      <c r="G56" s="613"/>
      <c r="H56" s="1456" t="s">
        <v>104</v>
      </c>
      <c r="I56" s="1457"/>
      <c r="J56" s="1457"/>
      <c r="K56" s="1457"/>
      <c r="L56" s="1457"/>
      <c r="M56" s="1457"/>
      <c r="N56" s="1458"/>
      <c r="O56" s="614"/>
      <c r="X56" s="615"/>
    </row>
    <row r="57" spans="1:41" x14ac:dyDescent="0.2">
      <c r="X57" s="542"/>
    </row>
    <row r="58" spans="1:41" hidden="1" x14ac:dyDescent="0.2">
      <c r="H58" s="616" t="s">
        <v>246</v>
      </c>
    </row>
    <row r="59" spans="1:41" x14ac:dyDescent="0.2">
      <c r="X59" s="542"/>
    </row>
  </sheetData>
  <sheetProtection algorithmName="SHA-512" hashValue="Fl3svreg1XZpWKuFOacxOA3JM65N5nIDNnOzeiLhkAvtEvxXJHq0lc3/Qk5ESZEqJGL33b46Aq0qnnlfQ5AuNg==" saltValue="nw/xwU6JNIXwy1BtrLKtVA==" spinCount="100000" sheet="1" objects="1" scenarios="1"/>
  <customSheetViews>
    <customSheetView guid="{9119B1A0-FD79-4FE4-B78E-10E0AEB8080B}" scale="90" showPageBreaks="1" showGridLines="0" fitToPage="1" printArea="1" hiddenRows="1" hiddenColumns="1">
      <pane xSplit="3" ySplit="15" topLeftCell="D46" activePane="bottomRight" state="frozen"/>
      <selection pane="bottomRight" activeCell="C6" sqref="C6"/>
      <pageMargins left="0.70866141732283472" right="0.70866141732283472" top="0.78740157480314965" bottom="0.78740157480314965" header="0.31496062992125984" footer="0.31496062992125984"/>
      <pageSetup paperSize="9" scale="64" orientation="landscape" r:id="rId1"/>
      <headerFooter>
        <oddHeader>&amp;C&amp;9Seite 4</oddHeader>
        <oddFooter>&amp;L&amp;8Version: 21.06.2022&amp;C&amp;8Verhandlungsunterlagen SGB XI (vereinfacht B1)&amp;R&amp;8PSK-Beschluss Nr. 3-2022 vom 21.06.2022</oddFooter>
      </headerFooter>
    </customSheetView>
  </customSheetViews>
  <mergeCells count="5">
    <mergeCell ref="A1:W1"/>
    <mergeCell ref="A2:W2"/>
    <mergeCell ref="H56:N56"/>
    <mergeCell ref="A3:W3"/>
    <mergeCell ref="A4:W4"/>
  </mergeCells>
  <conditionalFormatting sqref="D24:D36">
    <cfRule type="cellIs" dxfId="36" priority="52" operator="between">
      <formula>0</formula>
      <formula>0</formula>
    </cfRule>
  </conditionalFormatting>
  <conditionalFormatting sqref="D38:D45">
    <cfRule type="cellIs" dxfId="35" priority="51" operator="between">
      <formula>0</formula>
      <formula>0</formula>
    </cfRule>
  </conditionalFormatting>
  <conditionalFormatting sqref="D47">
    <cfRule type="cellIs" dxfId="34" priority="58" operator="between">
      <formula>0</formula>
      <formula>0</formula>
    </cfRule>
  </conditionalFormatting>
  <conditionalFormatting sqref="D16:W52">
    <cfRule type="containsErrors" dxfId="33" priority="70">
      <formula>ISERROR(D16)</formula>
    </cfRule>
  </conditionalFormatting>
  <conditionalFormatting sqref="G53:G55">
    <cfRule type="containsErrors" dxfId="32" priority="49">
      <formula>ISERROR(G53)</formula>
    </cfRule>
  </conditionalFormatting>
  <conditionalFormatting sqref="H47">
    <cfRule type="expression" dxfId="31" priority="59">
      <formula>$I$47=0</formula>
    </cfRule>
  </conditionalFormatting>
  <conditionalFormatting sqref="H10:P10">
    <cfRule type="cellIs" dxfId="29" priority="56" operator="between">
      <formula>0</formula>
      <formula>0</formula>
    </cfRule>
  </conditionalFormatting>
  <conditionalFormatting sqref="I53:I55">
    <cfRule type="containsErrors" dxfId="28" priority="43">
      <formula>ISERROR(I53)</formula>
    </cfRule>
  </conditionalFormatting>
  <conditionalFormatting sqref="K53:K55">
    <cfRule type="containsErrors" dxfId="27" priority="48">
      <formula>ISERROR(K53)</formula>
    </cfRule>
  </conditionalFormatting>
  <conditionalFormatting sqref="L51">
    <cfRule type="containsText" dxfId="26" priority="55" operator="containsText" text="FALSCH">
      <formula>NOT(ISERROR(SEARCH("FALSCH",L51)))</formula>
    </cfRule>
  </conditionalFormatting>
  <conditionalFormatting sqref="M53:M55">
    <cfRule type="containsErrors" dxfId="25" priority="47">
      <formula>ISERROR(M53)</formula>
    </cfRule>
  </conditionalFormatting>
  <conditionalFormatting sqref="N6">
    <cfRule type="cellIs" dxfId="24" priority="57" operator="between">
      <formula>0</formula>
      <formula>0</formula>
    </cfRule>
  </conditionalFormatting>
  <conditionalFormatting sqref="N51">
    <cfRule type="containsText" dxfId="23" priority="11" operator="containsText" text="FALSCH">
      <formula>NOT(ISERROR(SEARCH("FALSCH",N51)))</formula>
    </cfRule>
  </conditionalFormatting>
  <conditionalFormatting sqref="O53:O55">
    <cfRule type="containsErrors" dxfId="21" priority="46">
      <formula>ISERROR(O53)</formula>
    </cfRule>
  </conditionalFormatting>
  <conditionalFormatting sqref="P51">
    <cfRule type="containsText" dxfId="20" priority="9" operator="containsText" text="FALSCH">
      <formula>NOT(ISERROR(SEARCH("FALSCH",P51)))</formula>
    </cfRule>
  </conditionalFormatting>
  <conditionalFormatting sqref="Q53:Q55">
    <cfRule type="containsErrors" dxfId="19" priority="45">
      <formula>ISERROR(Q53)</formula>
    </cfRule>
  </conditionalFormatting>
  <conditionalFormatting sqref="R51">
    <cfRule type="containsText" dxfId="16" priority="6" operator="containsText" text="FALSCH">
      <formula>NOT(ISERROR(SEARCH("FALSCH",R51)))</formula>
    </cfRule>
  </conditionalFormatting>
  <conditionalFormatting sqref="S53:S55">
    <cfRule type="containsErrors" dxfId="15" priority="44">
      <formula>ISERROR(S53)</formula>
    </cfRule>
  </conditionalFormatting>
  <conditionalFormatting sqref="T51">
    <cfRule type="containsText" dxfId="14" priority="3" operator="containsText" text="FALSCH">
      <formula>NOT(ISERROR(SEARCH("FALSCH",T51)))</formula>
    </cfRule>
  </conditionalFormatting>
  <conditionalFormatting sqref="Y52:Y55">
    <cfRule type="containsErrors" dxfId="13" priority="14">
      <formula>ISERROR(Y52)</formula>
    </cfRule>
  </conditionalFormatting>
  <hyperlinks>
    <hyperlink ref="H56" location="'Anlage 1'!A1" display="Anlage 1" xr:uid="{00000000-0004-0000-0500-000000000000}"/>
    <hyperlink ref="H56:N56" location="B1_Bewohnervertretung!A1" display="gehe weiter zu Bewohnervertretung" xr:uid="{00000000-0004-0000-0500-000001000000}"/>
  </hyperlinks>
  <pageMargins left="0.70866141732283472" right="0.70866141732283472" top="0.78740157480314965" bottom="0.78740157480314965" header="0.31496062992125984" footer="0.31496062992125984"/>
  <pageSetup paperSize="9" scale="62" orientation="landscape"/>
  <headerFooter>
    <oddHeader>&amp;C&amp;9Seite 4</oddHeader>
    <oddFooter>&amp;L&amp;8Version: 25.11.2024&amp;C&amp;8Verhandlungsunterlagen SGB XI (vereinfacht B1)&amp;R&amp;8PSK-Beschluss vom 07.11.2024</oddFooter>
  </headerFooter>
  <ignoredErrors>
    <ignoredError sqref="H16:V17 H42:R46 H47:I49 M47:M49 O47:R49 R51:V51 H36:V41 H19:V35 H18 J18:V18 K51:P51" evalError="1"/>
    <ignoredError sqref="J47:L49 N47:N49" evalError="1" 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06F1E600-4C53-4855-B1C1-DFA9D1C96BCC}">
            <xm:f>'B1_Allgemeine Angaben'!$D$7&lt;&gt;"vst"</xm:f>
            <x14:dxf>
              <font>
                <color theme="0" tint="-4.9989318521683403E-2"/>
              </font>
              <fill>
                <patternFill>
                  <bgColor theme="0" tint="-4.9989318521683403E-2"/>
                </patternFill>
              </fill>
            </x14:dxf>
          </x14:cfRule>
          <xm:sqref>B41:C41</xm:sqref>
        </x14:conditionalFormatting>
        <x14:conditionalFormatting xmlns:xm="http://schemas.microsoft.com/office/excel/2006/main">
          <x14:cfRule type="expression" priority="62" id="{074122E9-B25B-47E2-9727-2EAB10277E85}">
            <xm:f>'B1_Allgemeine Angaben'!$D$7="kzp"</xm:f>
            <x14:dxf>
              <font>
                <color theme="0"/>
              </font>
              <fill>
                <patternFill>
                  <fgColor theme="0"/>
                  <bgColor theme="0"/>
                </patternFill>
              </fill>
              <border>
                <left/>
                <right/>
                <bottom/>
                <vertical/>
                <horizontal/>
              </border>
            </x14:dxf>
          </x14:cfRule>
          <x14:cfRule type="expression" priority="65" id="{B76BB2F1-06D1-44A0-8EA3-3294A0622347}">
            <xm:f>'B1_Allgemeine Angaben'!$D$7="tst"</xm:f>
            <x14:dxf>
              <font>
                <color theme="0"/>
              </font>
              <fill>
                <patternFill>
                  <bgColor theme="0"/>
                </patternFill>
              </fill>
              <border>
                <left/>
                <right/>
                <bottom/>
                <vertical/>
                <horizontal/>
              </border>
            </x14:dxf>
          </x14:cfRule>
          <xm:sqref>C12:P12 B48:P48 B49:R49</xm:sqref>
        </x14:conditionalFormatting>
        <x14:conditionalFormatting xmlns:xm="http://schemas.microsoft.com/office/excel/2006/main">
          <x14:cfRule type="expression" priority="87" id="{BA52BD0A-4FDD-4579-858B-44C3A2B68CC7}">
            <xm:f>'B1_Allgemeine Angaben'!$M$48&gt;0</xm:f>
            <x14:dxf>
              <font>
                <b/>
                <i val="0"/>
                <color auto="1"/>
              </font>
              <fill>
                <patternFill>
                  <fgColor auto="1"/>
                  <bgColor theme="0" tint="-4.9989318521683403E-2"/>
                </patternFill>
              </fill>
              <border>
                <left style="thin">
                  <color auto="1"/>
                </left>
                <right style="thin">
                  <color auto="1"/>
                </right>
                <top style="thin">
                  <color auto="1"/>
                </top>
                <bottom style="thin">
                  <color auto="1"/>
                </bottom>
                <vertical/>
                <horizontal/>
              </border>
            </x14:dxf>
          </x14:cfRule>
          <xm:sqref>H53 J53 L53</xm:sqref>
        </x14:conditionalFormatting>
        <x14:conditionalFormatting xmlns:xm="http://schemas.microsoft.com/office/excel/2006/main">
          <x14:cfRule type="expression" priority="90" id="{17A60CE8-74DF-42F0-A6AA-A3A7CFB5AAD0}">
            <xm:f>'B1_Allgemeine Angaben'!$M$48&gt;0</xm:f>
            <x14:dxf>
              <font>
                <b/>
                <i val="0"/>
                <color auto="1"/>
              </font>
              <fill>
                <patternFill>
                  <bgColor theme="0" tint="-4.9989318521683403E-2"/>
                </patternFill>
              </fill>
              <border>
                <left style="thin">
                  <color auto="1"/>
                </left>
                <right style="thin">
                  <color auto="1"/>
                </right>
                <top style="thin">
                  <color auto="1"/>
                </top>
                <bottom style="thin">
                  <color auto="1"/>
                </bottom>
                <vertical/>
                <horizontal/>
              </border>
            </x14:dxf>
          </x14:cfRule>
          <xm:sqref>N53 P53 R53 T53 V53</xm:sqref>
        </x14:conditionalFormatting>
        <x14:conditionalFormatting xmlns:xm="http://schemas.microsoft.com/office/excel/2006/main">
          <x14:cfRule type="expression" priority="69" id="{07C8E480-9846-495D-94E5-811CD282BFFC}">
            <xm:f>'B1_Allgemeine Angaben'!$D$7="tst"</xm:f>
            <x14:dxf>
              <font>
                <color theme="0"/>
              </font>
              <fill>
                <patternFill>
                  <bgColor theme="0"/>
                </patternFill>
              </fill>
              <border>
                <left/>
                <right/>
                <top/>
                <bottom/>
                <vertical/>
                <horizontal/>
              </border>
            </x14:dxf>
          </x14:cfRule>
          <xm:sqref>R49 H56:P56</xm:sqref>
        </x14:conditionalFormatting>
        <x14:conditionalFormatting xmlns:xm="http://schemas.microsoft.com/office/excel/2006/main">
          <x14:cfRule type="expression" priority="66" id="{0566DA16-5EBC-4792-A482-DB323D7D639D}">
            <xm:f>'B1_Allgemeine Angaben'!$D$7="kzp"</xm:f>
            <x14:dxf>
              <font>
                <color theme="0"/>
              </font>
            </x14:dxf>
          </x14:cfRule>
          <xm:sqref>R49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pageSetUpPr fitToPage="1"/>
  </sheetPr>
  <dimension ref="A1:Q64"/>
  <sheetViews>
    <sheetView showGridLines="0" zoomScaleNormal="100" workbookViewId="0">
      <selection activeCell="H6" sqref="H6"/>
    </sheetView>
  </sheetViews>
  <sheetFormatPr baseColWidth="10" defaultRowHeight="14.25" x14ac:dyDescent="0.2"/>
  <cols>
    <col min="1" max="2" width="3.625" style="45" customWidth="1"/>
    <col min="3" max="3" width="3.25" style="45" customWidth="1"/>
    <col min="4" max="4" width="3.125" style="45" customWidth="1"/>
    <col min="5" max="5" width="3.5" style="45" customWidth="1"/>
    <col min="6" max="6" width="11" style="45"/>
    <col min="7" max="7" width="3.125" style="45" customWidth="1"/>
    <col min="8" max="8" width="3.5" style="45" customWidth="1"/>
    <col min="9" max="9" width="11" style="45"/>
    <col min="10" max="10" width="11.875" style="45" customWidth="1"/>
    <col min="11" max="11" width="3.125" style="45" customWidth="1"/>
    <col min="12" max="12" width="17.75" style="45" customWidth="1"/>
    <col min="13" max="13" width="18.875" style="45" customWidth="1"/>
    <col min="14" max="14" width="4" style="45" customWidth="1"/>
  </cols>
  <sheetData>
    <row r="1" spans="1:17" ht="15.75" x14ac:dyDescent="0.25">
      <c r="A1" s="1474" t="s">
        <v>105</v>
      </c>
      <c r="B1" s="1475"/>
      <c r="C1" s="1475"/>
      <c r="D1" s="1475"/>
      <c r="E1" s="1475"/>
      <c r="F1" s="1475"/>
      <c r="G1" s="1475"/>
      <c r="H1" s="1475"/>
      <c r="I1" s="1475"/>
      <c r="J1" s="1475"/>
      <c r="K1" s="1475"/>
      <c r="L1" s="1475"/>
      <c r="M1" s="1475"/>
      <c r="N1" s="1476"/>
      <c r="O1" s="124"/>
    </row>
    <row r="2" spans="1:17" ht="15" x14ac:dyDescent="0.2">
      <c r="A2" s="1477" t="s">
        <v>150</v>
      </c>
      <c r="B2" s="1478"/>
      <c r="C2" s="1478"/>
      <c r="D2" s="1478"/>
      <c r="E2" s="1478"/>
      <c r="F2" s="1478"/>
      <c r="G2" s="1478"/>
      <c r="H2" s="1478"/>
      <c r="I2" s="1478"/>
      <c r="J2" s="1478"/>
      <c r="K2" s="1478"/>
      <c r="L2" s="1478"/>
      <c r="M2" s="1478"/>
      <c r="N2" s="1479"/>
      <c r="O2" s="9"/>
    </row>
    <row r="3" spans="1:17" ht="15.75" x14ac:dyDescent="0.25">
      <c r="A3" s="1480" t="str">
        <f>'B1_Allgemeine Angaben'!A3:N3</f>
        <v/>
      </c>
      <c r="B3" s="1481"/>
      <c r="C3" s="1481"/>
      <c r="D3" s="1481"/>
      <c r="E3" s="1481"/>
      <c r="F3" s="1481"/>
      <c r="G3" s="1481"/>
      <c r="H3" s="1481"/>
      <c r="I3" s="1481"/>
      <c r="J3" s="1481"/>
      <c r="K3" s="1481"/>
      <c r="L3" s="1481"/>
      <c r="M3" s="1481"/>
      <c r="N3" s="1482"/>
    </row>
    <row r="4" spans="1:17" ht="15.75" x14ac:dyDescent="0.25">
      <c r="A4" s="1480" t="str">
        <f>'B1_Allgemeine Angaben'!A4:N4</f>
        <v/>
      </c>
      <c r="B4" s="1481"/>
      <c r="C4" s="1481"/>
      <c r="D4" s="1481"/>
      <c r="E4" s="1481"/>
      <c r="F4" s="1481"/>
      <c r="G4" s="1481"/>
      <c r="H4" s="1481"/>
      <c r="I4" s="1481"/>
      <c r="J4" s="1481"/>
      <c r="K4" s="1481"/>
      <c r="L4" s="1481"/>
      <c r="M4" s="1481"/>
      <c r="N4" s="1482"/>
      <c r="O4" s="1"/>
      <c r="Q4" s="9"/>
    </row>
    <row r="5" spans="1:17" ht="16.5" thickBot="1" x14ac:dyDescent="0.3">
      <c r="A5" s="43"/>
      <c r="B5" s="44"/>
      <c r="N5" s="46"/>
      <c r="O5" s="45"/>
      <c r="Q5" s="9"/>
    </row>
    <row r="6" spans="1:17" s="81" customFormat="1" ht="16.5" thickBot="1" x14ac:dyDescent="0.3">
      <c r="A6" s="79"/>
      <c r="B6" s="1483" t="s">
        <v>106</v>
      </c>
      <c r="C6" s="1483"/>
      <c r="D6" s="1483"/>
      <c r="E6" s="1483"/>
      <c r="F6" s="1483"/>
      <c r="G6" s="1484"/>
      <c r="H6" s="80"/>
      <c r="J6" s="44"/>
      <c r="K6" s="80"/>
      <c r="L6" s="1485" t="s">
        <v>107</v>
      </c>
      <c r="M6" s="1483"/>
      <c r="N6" s="82"/>
      <c r="Q6" s="92"/>
    </row>
    <row r="7" spans="1:17" ht="14.25" customHeight="1" x14ac:dyDescent="0.2">
      <c r="A7" s="43"/>
      <c r="N7" s="46"/>
      <c r="O7" s="45"/>
    </row>
    <row r="8" spans="1:17" ht="27" customHeight="1" x14ac:dyDescent="0.2">
      <c r="A8" s="43"/>
      <c r="B8" s="1468" t="s">
        <v>165</v>
      </c>
      <c r="C8" s="1468"/>
      <c r="D8" s="1468"/>
      <c r="E8" s="1468"/>
      <c r="F8" s="1468"/>
      <c r="G8" s="1468"/>
      <c r="H8" s="1468"/>
      <c r="I8" s="1468"/>
      <c r="J8" s="1468"/>
      <c r="K8" s="1468"/>
      <c r="L8" s="1468"/>
      <c r="M8" s="1468"/>
      <c r="N8" s="46"/>
      <c r="O8" s="45"/>
    </row>
    <row r="9" spans="1:17" ht="15.75" x14ac:dyDescent="0.25">
      <c r="A9" s="43"/>
      <c r="B9" s="47"/>
      <c r="N9" s="46"/>
      <c r="O9" s="45"/>
      <c r="Q9" s="48"/>
    </row>
    <row r="10" spans="1:17" s="81" customFormat="1" ht="15" x14ac:dyDescent="0.2">
      <c r="A10" s="83"/>
      <c r="B10" s="84" t="s">
        <v>108</v>
      </c>
      <c r="C10" s="84" t="s">
        <v>109</v>
      </c>
      <c r="D10" s="84"/>
      <c r="E10" s="84"/>
      <c r="F10" s="84"/>
      <c r="G10" s="84"/>
      <c r="I10" s="84"/>
      <c r="J10" s="84"/>
      <c r="N10" s="85"/>
    </row>
    <row r="11" spans="1:17" ht="12.75" customHeight="1" thickBot="1" x14ac:dyDescent="0.3">
      <c r="A11" s="43"/>
      <c r="B11" s="47"/>
      <c r="N11" s="46"/>
      <c r="O11" s="45"/>
    </row>
    <row r="12" spans="1:17" ht="16.5" thickBot="1" x14ac:dyDescent="0.3">
      <c r="A12" s="43"/>
      <c r="D12" s="86"/>
      <c r="F12" s="44" t="s">
        <v>110</v>
      </c>
      <c r="G12" s="48"/>
      <c r="H12" s="48"/>
      <c r="I12" s="48"/>
      <c r="N12" s="46"/>
      <c r="O12" s="45"/>
    </row>
    <row r="13" spans="1:17" ht="15" x14ac:dyDescent="0.2">
      <c r="A13" s="43"/>
      <c r="F13" s="84" t="s">
        <v>111</v>
      </c>
      <c r="G13" s="49"/>
      <c r="H13" s="49"/>
      <c r="I13" s="49"/>
      <c r="J13" s="49"/>
      <c r="K13" s="49"/>
      <c r="N13" s="46"/>
      <c r="O13" s="45"/>
    </row>
    <row r="14" spans="1:17" ht="12.75" customHeight="1" thickBot="1" x14ac:dyDescent="0.25">
      <c r="A14" s="43"/>
      <c r="F14" s="49"/>
      <c r="G14" s="49"/>
      <c r="H14" s="49"/>
      <c r="I14" s="49"/>
      <c r="J14" s="49"/>
      <c r="K14" s="49"/>
      <c r="N14" s="46"/>
      <c r="O14" s="45"/>
    </row>
    <row r="15" spans="1:17" ht="16.5" thickBot="1" x14ac:dyDescent="0.3">
      <c r="A15" s="43"/>
      <c r="D15" s="86"/>
      <c r="F15" s="44" t="s">
        <v>112</v>
      </c>
      <c r="G15" s="48"/>
      <c r="H15" s="48"/>
      <c r="I15" s="48"/>
      <c r="N15" s="46"/>
      <c r="O15" s="45"/>
    </row>
    <row r="16" spans="1:17" ht="15" x14ac:dyDescent="0.2">
      <c r="A16" s="43"/>
      <c r="F16" s="84" t="s">
        <v>113</v>
      </c>
      <c r="N16" s="46"/>
      <c r="O16" s="45"/>
    </row>
    <row r="17" spans="1:15" x14ac:dyDescent="0.2">
      <c r="A17" s="43"/>
      <c r="F17" s="49"/>
      <c r="N17" s="46"/>
      <c r="O17" s="45"/>
    </row>
    <row r="18" spans="1:15" s="81" customFormat="1" ht="15" x14ac:dyDescent="0.2">
      <c r="A18" s="83"/>
      <c r="B18" s="84" t="s">
        <v>114</v>
      </c>
      <c r="C18" s="84" t="s">
        <v>115</v>
      </c>
      <c r="D18" s="84"/>
      <c r="E18" s="84"/>
      <c r="F18" s="84"/>
      <c r="G18" s="84"/>
      <c r="H18" s="84"/>
      <c r="I18" s="84"/>
      <c r="J18" s="84"/>
      <c r="L18" s="84"/>
      <c r="M18" s="84"/>
      <c r="N18" s="87"/>
    </row>
    <row r="19" spans="1:15" ht="12.75" customHeight="1" thickBot="1" x14ac:dyDescent="0.25">
      <c r="A19" s="43"/>
      <c r="C19" s="48"/>
      <c r="D19" s="48"/>
      <c r="E19" s="48"/>
      <c r="F19" s="48"/>
      <c r="G19" s="48"/>
      <c r="H19" s="48"/>
      <c r="I19" s="48"/>
      <c r="J19" s="48"/>
      <c r="K19" s="48"/>
      <c r="L19" s="48"/>
      <c r="M19" s="48"/>
      <c r="N19" s="50"/>
      <c r="O19" s="45"/>
    </row>
    <row r="20" spans="1:15" ht="15" thickBot="1" x14ac:dyDescent="0.25">
      <c r="A20" s="43"/>
      <c r="C20" s="48"/>
      <c r="D20" s="88"/>
      <c r="E20" s="18"/>
      <c r="F20" s="1469" t="s">
        <v>116</v>
      </c>
      <c r="G20" s="1469"/>
      <c r="H20" s="1469"/>
      <c r="I20" s="1469"/>
      <c r="J20" s="1469"/>
      <c r="K20" s="1469"/>
      <c r="L20" s="1469"/>
      <c r="M20" s="76"/>
      <c r="N20" s="70"/>
      <c r="O20" s="45"/>
    </row>
    <row r="21" spans="1:15" x14ac:dyDescent="0.2">
      <c r="A21" s="43"/>
      <c r="C21" s="48"/>
      <c r="D21" s="18"/>
      <c r="E21" s="18"/>
      <c r="F21" s="89" t="s">
        <v>166</v>
      </c>
      <c r="G21" s="89"/>
      <c r="H21" s="89"/>
      <c r="I21" s="89"/>
      <c r="J21" s="89"/>
      <c r="K21" s="89"/>
      <c r="L21" s="89"/>
      <c r="M21" s="76"/>
      <c r="N21" s="70"/>
      <c r="O21" s="125"/>
    </row>
    <row r="22" spans="1:15" x14ac:dyDescent="0.2">
      <c r="A22" s="43"/>
      <c r="C22" s="48"/>
      <c r="D22" s="18"/>
      <c r="E22" s="18"/>
      <c r="F22" s="1469"/>
      <c r="G22" s="1469"/>
      <c r="H22" s="1469"/>
      <c r="I22" s="1469"/>
      <c r="J22" s="1469"/>
      <c r="K22" s="1469"/>
      <c r="L22" s="1469"/>
      <c r="M22" s="76"/>
      <c r="N22" s="70"/>
      <c r="O22" s="45"/>
    </row>
    <row r="23" spans="1:15" ht="12.75" customHeight="1" thickBot="1" x14ac:dyDescent="0.25">
      <c r="A23" s="43"/>
      <c r="C23" s="48"/>
      <c r="D23" s="18"/>
      <c r="E23" s="18"/>
      <c r="F23" s="18"/>
      <c r="G23" s="18"/>
      <c r="H23" s="18"/>
      <c r="I23" s="18"/>
      <c r="J23" s="18"/>
      <c r="K23" s="18"/>
      <c r="L23" s="18"/>
      <c r="M23" s="18"/>
      <c r="N23" s="52"/>
      <c r="O23" s="45"/>
    </row>
    <row r="24" spans="1:15" ht="15" thickBot="1" x14ac:dyDescent="0.25">
      <c r="A24" s="43"/>
      <c r="C24" s="48"/>
      <c r="D24" s="88"/>
      <c r="E24" s="18"/>
      <c r="F24" s="1470" t="s">
        <v>117</v>
      </c>
      <c r="G24" s="1470"/>
      <c r="H24" s="1470"/>
      <c r="I24" s="1470"/>
      <c r="J24" s="1470"/>
      <c r="K24" s="1470"/>
      <c r="L24" s="1470"/>
      <c r="M24" s="77"/>
      <c r="N24" s="71"/>
      <c r="O24" s="51"/>
    </row>
    <row r="25" spans="1:15" x14ac:dyDescent="0.2">
      <c r="A25" s="43"/>
      <c r="C25" s="48"/>
      <c r="D25" s="18"/>
      <c r="E25" s="18"/>
      <c r="F25" s="18" t="s">
        <v>167</v>
      </c>
      <c r="G25" s="18"/>
      <c r="H25" s="18"/>
      <c r="I25" s="18"/>
      <c r="J25" s="18"/>
      <c r="K25" s="18"/>
      <c r="L25" s="18"/>
      <c r="M25" s="77"/>
      <c r="N25" s="71"/>
      <c r="O25" s="45"/>
    </row>
    <row r="26" spans="1:15" x14ac:dyDescent="0.2">
      <c r="A26" s="43"/>
      <c r="C26" s="48"/>
      <c r="D26" s="18"/>
      <c r="E26" s="18"/>
      <c r="F26" s="1470"/>
      <c r="G26" s="1470"/>
      <c r="H26" s="1470"/>
      <c r="I26" s="1470"/>
      <c r="J26" s="1470"/>
      <c r="K26" s="1470"/>
      <c r="L26" s="1470"/>
      <c r="M26" s="77"/>
      <c r="N26" s="71"/>
      <c r="O26" s="45"/>
    </row>
    <row r="27" spans="1:15" ht="14.85" customHeight="1" x14ac:dyDescent="0.2">
      <c r="A27" s="53"/>
      <c r="B27" s="54"/>
      <c r="C27" s="55"/>
      <c r="D27" s="56"/>
      <c r="E27" s="56"/>
      <c r="F27" s="56"/>
      <c r="G27" s="56"/>
      <c r="H27" s="56"/>
      <c r="I27" s="56"/>
      <c r="J27" s="56"/>
      <c r="K27" s="56"/>
      <c r="L27" s="56"/>
      <c r="M27" s="56"/>
      <c r="N27" s="57"/>
      <c r="O27" s="45"/>
    </row>
    <row r="28" spans="1:15" ht="14.85" customHeight="1" x14ac:dyDescent="0.2">
      <c r="A28" s="43"/>
      <c r="C28" s="48"/>
      <c r="D28" s="18"/>
      <c r="E28" s="18"/>
      <c r="F28" s="18"/>
      <c r="G28" s="18"/>
      <c r="H28" s="18"/>
      <c r="I28" s="18"/>
      <c r="J28" s="18"/>
      <c r="K28" s="18"/>
      <c r="L28" s="18"/>
      <c r="M28" s="18"/>
      <c r="N28" s="52"/>
      <c r="O28" s="45"/>
    </row>
    <row r="29" spans="1:15" s="81" customFormat="1" ht="15" x14ac:dyDescent="0.2">
      <c r="A29" s="83"/>
      <c r="B29" s="84" t="s">
        <v>118</v>
      </c>
      <c r="C29" s="84" t="s">
        <v>119</v>
      </c>
      <c r="D29" s="84"/>
      <c r="E29" s="84"/>
      <c r="F29" s="84"/>
      <c r="G29" s="84"/>
      <c r="H29" s="84"/>
      <c r="I29" s="84"/>
      <c r="J29" s="84"/>
      <c r="L29" s="84"/>
      <c r="M29" s="84"/>
      <c r="N29" s="87"/>
    </row>
    <row r="30" spans="1:15" ht="12.75" customHeight="1" x14ac:dyDescent="0.2">
      <c r="A30" s="43"/>
      <c r="C30" s="48"/>
      <c r="D30" s="18"/>
      <c r="E30" s="18"/>
      <c r="F30" s="18"/>
      <c r="G30" s="18"/>
      <c r="H30" s="18"/>
      <c r="I30" s="18"/>
      <c r="J30" s="18"/>
      <c r="K30" s="18"/>
      <c r="L30" s="18"/>
      <c r="M30" s="18"/>
      <c r="N30" s="52"/>
      <c r="O30" s="45"/>
    </row>
    <row r="31" spans="1:15" x14ac:dyDescent="0.2">
      <c r="A31" s="43"/>
      <c r="B31" t="s">
        <v>145</v>
      </c>
      <c r="N31" s="46"/>
      <c r="O31" s="45"/>
    </row>
    <row r="32" spans="1:15" x14ac:dyDescent="0.2">
      <c r="A32" s="43"/>
      <c r="B32" s="48" t="s">
        <v>146</v>
      </c>
      <c r="N32" s="46"/>
      <c r="O32" s="45"/>
    </row>
    <row r="33" spans="1:15" x14ac:dyDescent="0.2">
      <c r="A33" s="43"/>
      <c r="B33" s="48" t="s">
        <v>147</v>
      </c>
      <c r="N33" s="46"/>
      <c r="O33" s="45"/>
    </row>
    <row r="34" spans="1:15" x14ac:dyDescent="0.2">
      <c r="A34" s="43"/>
      <c r="B34" s="48" t="s">
        <v>148</v>
      </c>
      <c r="N34" s="46"/>
      <c r="O34" s="45"/>
    </row>
    <row r="35" spans="1:15" x14ac:dyDescent="0.2">
      <c r="A35" s="43"/>
      <c r="B35" s="48" t="s">
        <v>149</v>
      </c>
      <c r="N35" s="46"/>
      <c r="O35" s="45"/>
    </row>
    <row r="36" spans="1:15" x14ac:dyDescent="0.2">
      <c r="A36" s="43"/>
      <c r="B36"/>
      <c r="N36" s="46"/>
      <c r="O36" s="45"/>
    </row>
    <row r="37" spans="1:15" x14ac:dyDescent="0.2">
      <c r="A37" s="43"/>
      <c r="B37" s="48" t="s">
        <v>120</v>
      </c>
      <c r="C37" s="48"/>
      <c r="D37" s="48"/>
      <c r="E37" s="48"/>
      <c r="F37" s="48"/>
      <c r="G37" s="48"/>
      <c r="H37" s="48"/>
      <c r="I37" s="48"/>
      <c r="J37" s="48"/>
      <c r="K37" s="48"/>
      <c r="L37" s="48"/>
      <c r="M37" s="48"/>
      <c r="N37" s="46"/>
      <c r="O37" s="45"/>
    </row>
    <row r="38" spans="1:15" x14ac:dyDescent="0.2">
      <c r="A38" s="43"/>
      <c r="B38" s="1471"/>
      <c r="C38" s="1472"/>
      <c r="D38" s="1472"/>
      <c r="E38" s="1472"/>
      <c r="F38" s="1472"/>
      <c r="G38" s="1472"/>
      <c r="H38" s="1472"/>
      <c r="I38" s="1472"/>
      <c r="J38" s="1472"/>
      <c r="K38" s="1472"/>
      <c r="L38" s="1472"/>
      <c r="M38" s="1472"/>
      <c r="N38" s="46"/>
      <c r="O38" s="1"/>
    </row>
    <row r="39" spans="1:15" x14ac:dyDescent="0.2">
      <c r="A39" s="43"/>
      <c r="B39" s="1472"/>
      <c r="C39" s="1472"/>
      <c r="D39" s="1472"/>
      <c r="E39" s="1472"/>
      <c r="F39" s="1472"/>
      <c r="G39" s="1472"/>
      <c r="H39" s="1472"/>
      <c r="I39" s="1472"/>
      <c r="J39" s="1472"/>
      <c r="K39" s="1472"/>
      <c r="L39" s="1472"/>
      <c r="M39" s="1472"/>
      <c r="N39" s="46"/>
      <c r="O39" s="45"/>
    </row>
    <row r="40" spans="1:15" x14ac:dyDescent="0.2">
      <c r="A40" s="43"/>
      <c r="B40" s="1472"/>
      <c r="C40" s="1472"/>
      <c r="D40" s="1472"/>
      <c r="E40" s="1472"/>
      <c r="F40" s="1472"/>
      <c r="G40" s="1472"/>
      <c r="H40" s="1472"/>
      <c r="I40" s="1472"/>
      <c r="J40" s="1472"/>
      <c r="K40" s="1472"/>
      <c r="L40" s="1472"/>
      <c r="M40" s="1472"/>
      <c r="N40" s="46"/>
      <c r="O40" s="45"/>
    </row>
    <row r="41" spans="1:15" x14ac:dyDescent="0.2">
      <c r="A41" s="43"/>
      <c r="B41" s="1472"/>
      <c r="C41" s="1472"/>
      <c r="D41" s="1472"/>
      <c r="E41" s="1472"/>
      <c r="F41" s="1472"/>
      <c r="G41" s="1472"/>
      <c r="H41" s="1472"/>
      <c r="I41" s="1472"/>
      <c r="J41" s="1472"/>
      <c r="K41" s="1472"/>
      <c r="L41" s="1472"/>
      <c r="M41" s="1472"/>
      <c r="N41" s="46"/>
      <c r="O41" s="45"/>
    </row>
    <row r="42" spans="1:15" x14ac:dyDescent="0.2">
      <c r="A42" s="43"/>
      <c r="B42" s="1472"/>
      <c r="C42" s="1472"/>
      <c r="D42" s="1472"/>
      <c r="E42" s="1472"/>
      <c r="F42" s="1472"/>
      <c r="G42" s="1472"/>
      <c r="H42" s="1472"/>
      <c r="I42" s="1472"/>
      <c r="J42" s="1472"/>
      <c r="K42" s="1472"/>
      <c r="L42" s="1472"/>
      <c r="M42" s="1472"/>
      <c r="N42" s="46"/>
      <c r="O42" s="45"/>
    </row>
    <row r="43" spans="1:15" x14ac:dyDescent="0.2">
      <c r="A43" s="43"/>
      <c r="B43" s="1472"/>
      <c r="C43" s="1472"/>
      <c r="D43" s="1472"/>
      <c r="E43" s="1472"/>
      <c r="F43" s="1472"/>
      <c r="G43" s="1472"/>
      <c r="H43" s="1472"/>
      <c r="I43" s="1472"/>
      <c r="J43" s="1472"/>
      <c r="K43" s="1472"/>
      <c r="L43" s="1472"/>
      <c r="M43" s="1472"/>
      <c r="N43" s="46"/>
      <c r="O43" s="45"/>
    </row>
    <row r="44" spans="1:15" x14ac:dyDescent="0.2">
      <c r="A44" s="43"/>
      <c r="B44" s="1472"/>
      <c r="C44" s="1472"/>
      <c r="D44" s="1472"/>
      <c r="E44" s="1472"/>
      <c r="F44" s="1472"/>
      <c r="G44" s="1472"/>
      <c r="H44" s="1472"/>
      <c r="I44" s="1472"/>
      <c r="J44" s="1472"/>
      <c r="K44" s="1472"/>
      <c r="L44" s="1472"/>
      <c r="M44" s="1472"/>
      <c r="N44" s="46"/>
      <c r="O44" s="45"/>
    </row>
    <row r="45" spans="1:15" x14ac:dyDescent="0.2">
      <c r="A45" s="43"/>
      <c r="B45" s="1472"/>
      <c r="C45" s="1472"/>
      <c r="D45" s="1472"/>
      <c r="E45" s="1472"/>
      <c r="F45" s="1472"/>
      <c r="G45" s="1472"/>
      <c r="H45" s="1472"/>
      <c r="I45" s="1472"/>
      <c r="J45" s="1472"/>
      <c r="K45" s="1472"/>
      <c r="L45" s="1472"/>
      <c r="M45" s="1472"/>
      <c r="N45" s="46"/>
      <c r="O45" s="45"/>
    </row>
    <row r="46" spans="1:15" x14ac:dyDescent="0.2">
      <c r="A46" s="43"/>
      <c r="B46" s="1472"/>
      <c r="C46" s="1472"/>
      <c r="D46" s="1472"/>
      <c r="E46" s="1472"/>
      <c r="F46" s="1472"/>
      <c r="G46" s="1472"/>
      <c r="H46" s="1472"/>
      <c r="I46" s="1472"/>
      <c r="J46" s="1472"/>
      <c r="K46" s="1472"/>
      <c r="L46" s="1472"/>
      <c r="M46" s="1472"/>
      <c r="N46" s="46"/>
      <c r="O46" s="45"/>
    </row>
    <row r="47" spans="1:15" x14ac:dyDescent="0.2">
      <c r="A47" s="43"/>
      <c r="B47" s="1472"/>
      <c r="C47" s="1472"/>
      <c r="D47" s="1472"/>
      <c r="E47" s="1472"/>
      <c r="F47" s="1472"/>
      <c r="G47" s="1472"/>
      <c r="H47" s="1472"/>
      <c r="I47" s="1472"/>
      <c r="J47" s="1472"/>
      <c r="K47" s="1472"/>
      <c r="L47" s="1472"/>
      <c r="M47" s="1472"/>
      <c r="N47" s="46"/>
      <c r="O47" s="45"/>
    </row>
    <row r="48" spans="1:15" x14ac:dyDescent="0.2">
      <c r="A48" s="43"/>
      <c r="B48" s="1472"/>
      <c r="C48" s="1472"/>
      <c r="D48" s="1472"/>
      <c r="E48" s="1472"/>
      <c r="F48" s="1472"/>
      <c r="G48" s="1472"/>
      <c r="H48" s="1472"/>
      <c r="I48" s="1472"/>
      <c r="J48" s="1472"/>
      <c r="K48" s="1472"/>
      <c r="L48" s="1472"/>
      <c r="M48" s="1472"/>
      <c r="N48" s="46"/>
      <c r="O48" s="45"/>
    </row>
    <row r="49" spans="1:15" x14ac:dyDescent="0.2">
      <c r="A49" s="43"/>
      <c r="B49" s="1472"/>
      <c r="C49" s="1472"/>
      <c r="D49" s="1472"/>
      <c r="E49" s="1472"/>
      <c r="F49" s="1472"/>
      <c r="G49" s="1472"/>
      <c r="H49" s="1472"/>
      <c r="I49" s="1472"/>
      <c r="J49" s="1472"/>
      <c r="K49" s="1472"/>
      <c r="L49" s="1472"/>
      <c r="M49" s="1472"/>
      <c r="N49" s="46"/>
      <c r="O49" s="45"/>
    </row>
    <row r="50" spans="1:15" x14ac:dyDescent="0.2">
      <c r="A50" s="43"/>
      <c r="B50" s="1472"/>
      <c r="C50" s="1472"/>
      <c r="D50" s="1472"/>
      <c r="E50" s="1472"/>
      <c r="F50" s="1472"/>
      <c r="G50" s="1472"/>
      <c r="H50" s="1472"/>
      <c r="I50" s="1472"/>
      <c r="J50" s="1472"/>
      <c r="K50" s="1472"/>
      <c r="L50" s="1472"/>
      <c r="M50" s="1472"/>
      <c r="N50" s="46"/>
      <c r="O50" s="45"/>
    </row>
    <row r="51" spans="1:15" x14ac:dyDescent="0.2">
      <c r="A51" s="43"/>
      <c r="B51" s="1472"/>
      <c r="C51" s="1472"/>
      <c r="D51" s="1472"/>
      <c r="E51" s="1472"/>
      <c r="F51" s="1472"/>
      <c r="G51" s="1472"/>
      <c r="H51" s="1472"/>
      <c r="I51" s="1472"/>
      <c r="J51" s="1472"/>
      <c r="K51" s="1472"/>
      <c r="L51" s="1472"/>
      <c r="M51" s="1472"/>
      <c r="N51" s="46"/>
      <c r="O51" s="45"/>
    </row>
    <row r="52" spans="1:15" x14ac:dyDescent="0.2">
      <c r="A52" s="43"/>
      <c r="B52" s="1472"/>
      <c r="C52" s="1472"/>
      <c r="D52" s="1472"/>
      <c r="E52" s="1472"/>
      <c r="F52" s="1472"/>
      <c r="G52" s="1472"/>
      <c r="H52" s="1472"/>
      <c r="I52" s="1472"/>
      <c r="J52" s="1472"/>
      <c r="K52" s="1472"/>
      <c r="L52" s="1472"/>
      <c r="M52" s="1472"/>
      <c r="N52" s="46"/>
      <c r="O52" s="45"/>
    </row>
    <row r="53" spans="1:15" x14ac:dyDescent="0.2">
      <c r="A53" s="43"/>
      <c r="B53" s="1472"/>
      <c r="C53" s="1472"/>
      <c r="D53" s="1472"/>
      <c r="E53" s="1472"/>
      <c r="F53" s="1472"/>
      <c r="G53" s="1472"/>
      <c r="H53" s="1472"/>
      <c r="I53" s="1472"/>
      <c r="J53" s="1472"/>
      <c r="K53" s="1472"/>
      <c r="L53" s="1472"/>
      <c r="M53" s="1472"/>
      <c r="N53" s="46"/>
      <c r="O53" s="45"/>
    </row>
    <row r="54" spans="1:15" x14ac:dyDescent="0.2">
      <c r="A54" s="43"/>
      <c r="B54" s="1472"/>
      <c r="C54" s="1472"/>
      <c r="D54" s="1472"/>
      <c r="E54" s="1472"/>
      <c r="F54" s="1472"/>
      <c r="G54" s="1472"/>
      <c r="H54" s="1472"/>
      <c r="I54" s="1472"/>
      <c r="J54" s="1472"/>
      <c r="K54" s="1472"/>
      <c r="L54" s="1472"/>
      <c r="M54" s="1472"/>
      <c r="N54" s="46"/>
      <c r="O54" s="45"/>
    </row>
    <row r="55" spans="1:15" x14ac:dyDescent="0.2">
      <c r="A55" s="43"/>
      <c r="B55" s="1472"/>
      <c r="C55" s="1472"/>
      <c r="D55" s="1472"/>
      <c r="E55" s="1472"/>
      <c r="F55" s="1472"/>
      <c r="G55" s="1472"/>
      <c r="H55" s="1472"/>
      <c r="I55" s="1472"/>
      <c r="J55" s="1472"/>
      <c r="K55" s="1472"/>
      <c r="L55" s="1472"/>
      <c r="M55" s="1472"/>
      <c r="N55" s="46"/>
      <c r="O55" s="45"/>
    </row>
    <row r="56" spans="1:15" x14ac:dyDescent="0.2">
      <c r="A56" s="43"/>
      <c r="B56" s="1472"/>
      <c r="C56" s="1472"/>
      <c r="D56" s="1472"/>
      <c r="E56" s="1472"/>
      <c r="F56" s="1472"/>
      <c r="G56" s="1472"/>
      <c r="H56" s="1472"/>
      <c r="I56" s="1472"/>
      <c r="J56" s="1472"/>
      <c r="K56" s="1472"/>
      <c r="L56" s="1472"/>
      <c r="M56" s="1472"/>
      <c r="N56" s="46"/>
      <c r="O56" s="45"/>
    </row>
    <row r="57" spans="1:15" x14ac:dyDescent="0.2">
      <c r="A57" s="43"/>
      <c r="N57" s="46"/>
      <c r="O57" s="45"/>
    </row>
    <row r="58" spans="1:15" x14ac:dyDescent="0.2">
      <c r="A58" s="43"/>
      <c r="N58" s="46"/>
      <c r="O58" s="45"/>
    </row>
    <row r="59" spans="1:15" x14ac:dyDescent="0.2">
      <c r="A59" s="43"/>
      <c r="J59" s="1473"/>
      <c r="K59" s="1473"/>
      <c r="L59" s="1473"/>
      <c r="M59" s="78"/>
      <c r="N59" s="46"/>
      <c r="O59" s="45"/>
    </row>
    <row r="60" spans="1:15" x14ac:dyDescent="0.2">
      <c r="A60" s="43"/>
      <c r="I60" s="58"/>
      <c r="N60" s="46"/>
      <c r="O60" s="45"/>
    </row>
    <row r="61" spans="1:15" x14ac:dyDescent="0.2">
      <c r="A61" s="43"/>
      <c r="N61" s="46"/>
      <c r="O61" s="45"/>
    </row>
    <row r="62" spans="1:15" x14ac:dyDescent="0.2">
      <c r="A62" s="43"/>
      <c r="B62" s="1467"/>
      <c r="C62" s="1353"/>
      <c r="D62" s="1353"/>
      <c r="E62" s="1353"/>
      <c r="F62" s="1353"/>
      <c r="G62" s="1353"/>
      <c r="H62" s="1353"/>
      <c r="I62" s="1353"/>
      <c r="K62" s="1467"/>
      <c r="L62" s="1353"/>
      <c r="M62" s="1353"/>
      <c r="N62" s="46"/>
      <c r="O62" s="45"/>
    </row>
    <row r="63" spans="1:15" x14ac:dyDescent="0.2">
      <c r="A63" s="43"/>
      <c r="B63" s="48" t="s">
        <v>68</v>
      </c>
      <c r="C63"/>
      <c r="D63"/>
      <c r="E63"/>
      <c r="F63"/>
      <c r="G63"/>
      <c r="H63"/>
      <c r="I63"/>
      <c r="J63"/>
      <c r="K63" s="1465" t="s">
        <v>121</v>
      </c>
      <c r="L63" s="1465"/>
      <c r="M63" s="1465"/>
      <c r="N63" s="46"/>
      <c r="O63" s="45"/>
    </row>
    <row r="64" spans="1:15" x14ac:dyDescent="0.2">
      <c r="A64" s="59"/>
      <c r="B64" s="90"/>
      <c r="C64" s="90"/>
      <c r="D64" s="90"/>
      <c r="E64" s="90"/>
      <c r="F64" s="90"/>
      <c r="G64" s="90"/>
      <c r="H64" s="90"/>
      <c r="I64" s="90"/>
      <c r="J64" s="91"/>
      <c r="K64" s="1466" t="s">
        <v>122</v>
      </c>
      <c r="L64" s="1466"/>
      <c r="M64" s="1466"/>
      <c r="N64" s="60"/>
      <c r="O64" s="45"/>
    </row>
  </sheetData>
  <sheetProtection algorithmName="SHA-512" hashValue="mOnTuvF+uYiG/RX+WLIjBECIoeInFESeODrRWJmVTen8Q6ccMqULiBFgj1DOwvbhy/mCWJtWChJ/GE+w3Fr/Zw==" saltValue="Qiucjk+ce9lYUGua4lONlg==" spinCount="100000" sheet="1" selectLockedCells="1"/>
  <customSheetViews>
    <customSheetView guid="{9119B1A0-FD79-4FE4-B78E-10E0AEB8080B}" showPageBreaks="1" showGridLines="0" fitToPage="1" printArea="1" view="pageLayout" topLeftCell="A53">
      <selection activeCell="B62" sqref="B62:I62"/>
      <pageMargins left="0.70866141732283472" right="0.70866141732283472" top="0.78740157480314965" bottom="0.78740157480314965" header="0.31496062992125984" footer="0.31496062992125984"/>
      <pageSetup paperSize="9" scale="79" orientation="portrait" r:id="rId1"/>
      <headerFooter>
        <oddHeader>&amp;C&amp;9Bewohnervertretung</oddHeader>
        <oddFooter>&amp;L&amp;8Version: 21.06.2022&amp;C&amp;8Verhandlungsunterlagen SGB XI (vereinfacht B1)&amp;R&amp;8PSK-Beschluss Nr. 3-2022 vom 21.06.2022</oddFooter>
      </headerFooter>
    </customSheetView>
  </customSheetViews>
  <mergeCells count="17">
    <mergeCell ref="A1:N1"/>
    <mergeCell ref="A2:N2"/>
    <mergeCell ref="A3:N3"/>
    <mergeCell ref="A4:N4"/>
    <mergeCell ref="B6:G6"/>
    <mergeCell ref="L6:M6"/>
    <mergeCell ref="K63:M63"/>
    <mergeCell ref="K64:M64"/>
    <mergeCell ref="K62:M62"/>
    <mergeCell ref="B62:I62"/>
    <mergeCell ref="B8:M8"/>
    <mergeCell ref="F20:L20"/>
    <mergeCell ref="F24:L24"/>
    <mergeCell ref="B38:M56"/>
    <mergeCell ref="J59:L59"/>
    <mergeCell ref="F22:L22"/>
    <mergeCell ref="F26:L26"/>
  </mergeCells>
  <pageMargins left="0.70866141732283472" right="0.70866141732283472" top="0.78740157480314965" bottom="0.78740157480314965" header="0.31496062992125984" footer="0.31496062992125984"/>
  <pageSetup paperSize="9" scale="79" orientation="portrait"/>
  <headerFooter>
    <oddHeader>&amp;C&amp;9Bewohnervertretung</oddHeader>
    <oddFooter>&amp;L&amp;8Version: 25.11.2024&amp;C&amp;8Verhandlungsunterlagen SGB XI (vereinfacht B1)&amp;R&amp;8PSK-Beschluss vom 07.11.2024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3"/>
  <sheetViews>
    <sheetView showGridLines="0" zoomScaleNormal="100" workbookViewId="0">
      <selection activeCell="H23" sqref="H23"/>
    </sheetView>
  </sheetViews>
  <sheetFormatPr baseColWidth="10" defaultRowHeight="14.25" x14ac:dyDescent="0.2"/>
  <cols>
    <col min="1" max="1" width="1.75" style="3" customWidth="1"/>
    <col min="2" max="2" width="24.125" style="3" customWidth="1"/>
    <col min="3" max="8" width="13.625" style="3" customWidth="1"/>
    <col min="9" max="9" width="14.875" style="3" customWidth="1"/>
    <col min="10" max="12" width="13.625" style="3" customWidth="1"/>
    <col min="13" max="13" width="1.625" style="3" customWidth="1"/>
    <col min="14" max="16384" width="11" style="3"/>
  </cols>
  <sheetData>
    <row r="1" spans="1:13" ht="26.25" customHeight="1" x14ac:dyDescent="0.2">
      <c r="A1" s="1486" t="str">
        <f>'B1_Allgemeine Angaben'!A1:N1</f>
        <v>Vereinfachtes Verfahren der Aufforderung zum Abschluss einer Pflegesatzvereinbarung gemäß § 84, 85 SGB XI mit Orientierung auf das regional übliche Entgeltniveau (Stand 31.10.2024)</v>
      </c>
      <c r="B1" s="1487"/>
      <c r="C1" s="1487"/>
      <c r="D1" s="1487"/>
      <c r="E1" s="1487"/>
      <c r="F1" s="1487"/>
      <c r="G1" s="1487"/>
      <c r="H1" s="1487"/>
      <c r="I1" s="1487"/>
      <c r="J1" s="1487"/>
      <c r="K1" s="1487"/>
      <c r="L1" s="1487"/>
      <c r="M1" s="763"/>
    </row>
    <row r="2" spans="1:13" ht="15" customHeight="1" x14ac:dyDescent="0.2">
      <c r="A2" s="1488" t="s">
        <v>501</v>
      </c>
      <c r="B2" s="1489"/>
      <c r="C2" s="1489"/>
      <c r="D2" s="1489"/>
      <c r="E2" s="1489"/>
      <c r="F2" s="1489"/>
      <c r="G2" s="1489"/>
      <c r="H2" s="1489"/>
      <c r="I2" s="1489"/>
      <c r="J2" s="1489"/>
      <c r="K2" s="1489"/>
      <c r="L2" s="1489"/>
      <c r="M2" s="764"/>
    </row>
    <row r="3" spans="1:13" ht="40.5" customHeight="1" x14ac:dyDescent="0.2">
      <c r="A3" s="765"/>
      <c r="B3" s="766"/>
      <c r="C3" s="766"/>
      <c r="D3" s="766"/>
      <c r="E3" s="766"/>
      <c r="F3" s="766"/>
      <c r="G3" s="766"/>
      <c r="H3" s="766"/>
      <c r="I3" s="766"/>
      <c r="J3" s="766"/>
      <c r="K3" s="766"/>
      <c r="L3" s="766"/>
      <c r="M3" s="764"/>
    </row>
    <row r="4" spans="1:13" x14ac:dyDescent="0.2">
      <c r="A4" s="617"/>
      <c r="B4" s="618"/>
      <c r="C4" s="618"/>
      <c r="D4" s="618"/>
      <c r="E4" s="618"/>
      <c r="F4" s="618"/>
      <c r="G4" s="618"/>
      <c r="H4" s="618"/>
      <c r="I4" s="618"/>
      <c r="J4" s="618"/>
      <c r="K4" s="618"/>
      <c r="L4" s="618"/>
      <c r="M4" s="4"/>
    </row>
    <row r="5" spans="1:13" x14ac:dyDescent="0.2">
      <c r="A5" s="617"/>
      <c r="B5" s="1500" t="s">
        <v>364</v>
      </c>
      <c r="C5" s="1500"/>
      <c r="D5" s="1500"/>
      <c r="E5" s="619"/>
      <c r="F5" s="620" t="s">
        <v>349</v>
      </c>
      <c r="G5" s="621" t="str">
        <f>IF('B1_Allgemeine Angaben'!D6:D6&gt;0,'B1_Allgemeine Angaben'!D6:D6,"")</f>
        <v/>
      </c>
      <c r="H5" s="622"/>
      <c r="I5" s="622"/>
      <c r="J5" s="618"/>
      <c r="K5" s="618"/>
      <c r="L5" s="618"/>
      <c r="M5" s="4"/>
    </row>
    <row r="6" spans="1:13" x14ac:dyDescent="0.2">
      <c r="A6" s="617"/>
      <c r="B6" s="1490" t="str">
        <f>IF('B1_Allgemeine Angaben'!D12:D12&gt;0,'B1_Allgemeine Angaben'!D12:D12,"")</f>
        <v/>
      </c>
      <c r="C6" s="1490"/>
      <c r="D6" s="1490"/>
      <c r="E6" s="619"/>
      <c r="F6" s="623" t="s">
        <v>346</v>
      </c>
      <c r="G6" s="624" t="str">
        <f>IF('B1_Allgemeine Angaben'!D18:D18&lt;0,'B1_Allgemeine Angaben'!D18:D18,"")</f>
        <v/>
      </c>
      <c r="H6" s="622"/>
      <c r="I6" s="622"/>
      <c r="J6" s="618"/>
      <c r="K6" s="618"/>
      <c r="L6" s="618"/>
      <c r="M6" s="4"/>
    </row>
    <row r="7" spans="1:13" x14ac:dyDescent="0.2">
      <c r="A7" s="617"/>
      <c r="B7" s="1490" t="str">
        <f>IF('B1_Allgemeine Angaben'!D14:D14&gt;0,'B1_Allgemeine Angaben'!D14:D14,"")</f>
        <v/>
      </c>
      <c r="C7" s="1490"/>
      <c r="D7" s="1490"/>
      <c r="E7" s="619"/>
      <c r="F7" s="623" t="s">
        <v>347</v>
      </c>
      <c r="G7" s="624" t="str">
        <f>IF('B1_Allgemeine Angaben'!J18:J18&gt;0,'B1_Allgemeine Angaben'!J18:J18,"")</f>
        <v/>
      </c>
      <c r="H7" s="622"/>
      <c r="I7" s="622"/>
      <c r="J7" s="618"/>
      <c r="K7" s="618"/>
      <c r="L7" s="618"/>
      <c r="M7" s="4"/>
    </row>
    <row r="8" spans="1:13" x14ac:dyDescent="0.2">
      <c r="A8" s="617"/>
      <c r="B8" s="1490" t="str">
        <f>IF('B1_Allgemeine Angaben'!D16:D16&gt;0,'B1_Allgemeine Angaben'!D16:D16,"")</f>
        <v/>
      </c>
      <c r="C8" s="1490"/>
      <c r="D8" s="1490"/>
      <c r="E8" s="619"/>
      <c r="F8" s="623" t="s">
        <v>348</v>
      </c>
      <c r="G8" s="624" t="str">
        <f>IF('B1_Allgemeine Angaben'!D20:D20&gt;0,'B1_Allgemeine Angaben'!D20:D20,"")</f>
        <v/>
      </c>
      <c r="H8" s="622"/>
      <c r="I8" s="622"/>
      <c r="J8" s="618"/>
      <c r="K8" s="618"/>
      <c r="L8" s="618"/>
      <c r="M8" s="4"/>
    </row>
    <row r="9" spans="1:13" s="618" customFormat="1" ht="14.25" customHeight="1" x14ac:dyDescent="0.2">
      <c r="A9" s="617"/>
      <c r="B9" s="619" t="str">
        <f>'B1_Allgemeine Angaben'!K6</f>
        <v>Institutionskennzeichen (IK):</v>
      </c>
      <c r="C9" s="1490">
        <f>'B1_Allgemeine Angaben'!L6:L6</f>
        <v>0</v>
      </c>
      <c r="D9" s="1490"/>
      <c r="E9" s="619"/>
      <c r="F9" s="625" t="s">
        <v>384</v>
      </c>
      <c r="G9" s="626"/>
      <c r="H9" s="627"/>
      <c r="I9" s="628">
        <f>'B1_Allgemeine Angaben'!L7:L7</f>
        <v>0</v>
      </c>
      <c r="M9" s="629"/>
    </row>
    <row r="10" spans="1:13" x14ac:dyDescent="0.2">
      <c r="A10" s="617"/>
      <c r="B10" s="1500" t="s">
        <v>345</v>
      </c>
      <c r="C10" s="1500"/>
      <c r="D10" s="1500"/>
      <c r="E10" s="619"/>
      <c r="F10" s="620"/>
      <c r="G10" s="619"/>
      <c r="H10" s="619"/>
      <c r="I10" s="619"/>
      <c r="J10" s="618"/>
      <c r="K10" s="618"/>
      <c r="L10" s="618"/>
      <c r="M10" s="4"/>
    </row>
    <row r="11" spans="1:13" x14ac:dyDescent="0.2">
      <c r="A11" s="617"/>
      <c r="B11" s="1490" t="str">
        <f>IF('B1_Allgemeine Angaben'!D26:D26&gt;0,'B1_Allgemeine Angaben'!D26:D26,"")</f>
        <v/>
      </c>
      <c r="C11" s="1490"/>
      <c r="D11" s="1490"/>
      <c r="E11" s="619"/>
      <c r="F11" s="623" t="s">
        <v>346</v>
      </c>
      <c r="G11" s="624" t="str">
        <f>IF('B1_Allgemeine Angaben'!D32:D32&gt;0,'B1_Allgemeine Angaben'!D32:D32,"")</f>
        <v/>
      </c>
      <c r="H11" s="622"/>
      <c r="I11" s="622"/>
      <c r="J11" s="618"/>
      <c r="K11" s="618"/>
      <c r="L11" s="618"/>
      <c r="M11" s="4"/>
    </row>
    <row r="12" spans="1:13" x14ac:dyDescent="0.2">
      <c r="A12" s="617"/>
      <c r="B12" s="1490" t="str">
        <f>IF('B1_Allgemeine Angaben'!D28:D28&gt;0,'B1_Allgemeine Angaben'!D28:D28,"")</f>
        <v/>
      </c>
      <c r="C12" s="1490"/>
      <c r="D12" s="1490"/>
      <c r="E12" s="619"/>
      <c r="F12" s="623" t="s">
        <v>347</v>
      </c>
      <c r="G12" s="624" t="str">
        <f>IF('B1_Allgemeine Angaben'!J32:J32&gt;0,'B1_Allgemeine Angaben'!J32:J32,"")</f>
        <v/>
      </c>
      <c r="H12" s="622"/>
      <c r="I12" s="622"/>
      <c r="J12" s="618"/>
      <c r="K12" s="618"/>
      <c r="L12" s="618"/>
      <c r="M12" s="4"/>
    </row>
    <row r="13" spans="1:13" x14ac:dyDescent="0.2">
      <c r="A13" s="617"/>
      <c r="B13" s="1490" t="str">
        <f>IF('B1_Allgemeine Angaben'!D30:D30&gt;0,'B1_Allgemeine Angaben'!D30:D30,"")</f>
        <v/>
      </c>
      <c r="C13" s="1490"/>
      <c r="D13" s="1490"/>
      <c r="E13" s="619"/>
      <c r="F13" s="623" t="s">
        <v>348</v>
      </c>
      <c r="G13" s="624" t="str">
        <f>IF('B1_Allgemeine Angaben'!D34:D34&gt;0,'B1_Allgemeine Angaben'!D34:D34,"")</f>
        <v/>
      </c>
      <c r="H13" s="622"/>
      <c r="I13" s="622"/>
      <c r="J13" s="618"/>
      <c r="K13" s="618"/>
      <c r="L13" s="618"/>
      <c r="M13" s="4"/>
    </row>
    <row r="14" spans="1:13" ht="9.9499999999999993" customHeight="1" x14ac:dyDescent="0.2">
      <c r="A14" s="617"/>
      <c r="B14" s="630"/>
      <c r="C14" s="630"/>
      <c r="D14" s="630"/>
      <c r="E14" s="619"/>
      <c r="F14" s="631"/>
      <c r="G14" s="631"/>
      <c r="H14" s="619"/>
      <c r="I14" s="619"/>
      <c r="J14" s="618"/>
      <c r="K14" s="618"/>
      <c r="L14" s="618"/>
      <c r="M14" s="4"/>
    </row>
    <row r="15" spans="1:13" x14ac:dyDescent="0.2">
      <c r="A15" s="632"/>
      <c r="B15" s="1494" t="s">
        <v>503</v>
      </c>
      <c r="C15" s="1495"/>
      <c r="D15" s="1495"/>
      <c r="E15" s="633" t="s">
        <v>379</v>
      </c>
      <c r="F15" s="634" t="str">
        <f>IF('B1_Allgemeine Angaben'!H52&gt;0,'B1_Allgemeine Angaben'!H52,"")</f>
        <v/>
      </c>
      <c r="G15" s="635" t="s">
        <v>350</v>
      </c>
      <c r="H15" s="634">
        <f>IFERROR('B1_Allgemeine Angaben'!K52,"")</f>
        <v>0</v>
      </c>
      <c r="I15" s="636"/>
      <c r="J15" s="618"/>
      <c r="K15" s="618"/>
      <c r="L15" s="618"/>
      <c r="M15" s="4"/>
    </row>
    <row r="16" spans="1:13" ht="9.9499999999999993" customHeight="1" x14ac:dyDescent="0.2">
      <c r="A16" s="632"/>
      <c r="B16" s="619"/>
      <c r="C16" s="619"/>
      <c r="D16" s="619"/>
      <c r="E16" s="619"/>
      <c r="F16" s="631"/>
      <c r="G16" s="631"/>
      <c r="H16" s="619"/>
      <c r="I16" s="619"/>
      <c r="J16" s="618"/>
      <c r="K16" s="618"/>
      <c r="L16" s="618"/>
      <c r="M16" s="4"/>
    </row>
    <row r="17" spans="1:13" x14ac:dyDescent="0.2">
      <c r="A17" s="632"/>
      <c r="B17" s="637" t="s">
        <v>377</v>
      </c>
      <c r="C17" s="638" t="s">
        <v>352</v>
      </c>
      <c r="D17" s="638" t="s">
        <v>353</v>
      </c>
      <c r="E17" s="638" t="s">
        <v>354</v>
      </c>
      <c r="F17" s="638" t="s">
        <v>355</v>
      </c>
      <c r="G17" s="638" t="s">
        <v>356</v>
      </c>
      <c r="H17" s="619"/>
      <c r="I17" s="618"/>
      <c r="J17" s="618"/>
      <c r="K17" s="618"/>
      <c r="L17" s="618"/>
      <c r="M17" s="4"/>
    </row>
    <row r="18" spans="1:13" x14ac:dyDescent="0.2">
      <c r="A18" s="632"/>
      <c r="B18" s="639" t="s">
        <v>337</v>
      </c>
      <c r="C18" s="640">
        <f>B1_Kalkulation!H14</f>
        <v>0</v>
      </c>
      <c r="D18" s="640">
        <f>B1_Kalkulation!I14</f>
        <v>0</v>
      </c>
      <c r="E18" s="640">
        <f>B1_Kalkulation!J14</f>
        <v>0</v>
      </c>
      <c r="F18" s="640">
        <f>B1_Kalkulation!K14</f>
        <v>0</v>
      </c>
      <c r="G18" s="640">
        <f>B1_Kalkulation!L14</f>
        <v>0</v>
      </c>
      <c r="H18" s="619"/>
      <c r="I18" s="618"/>
      <c r="J18" s="618"/>
      <c r="K18" s="618"/>
      <c r="L18" s="618"/>
      <c r="M18" s="4"/>
    </row>
    <row r="19" spans="1:13" x14ac:dyDescent="0.2">
      <c r="A19" s="1122"/>
      <c r="B19" s="904" t="s">
        <v>747</v>
      </c>
      <c r="C19" s="641">
        <f>B1_Kalkulation!H17</f>
        <v>0</v>
      </c>
      <c r="D19" s="641">
        <f>B1_Kalkulation!I17</f>
        <v>0</v>
      </c>
      <c r="E19" s="641">
        <f>B1_Kalkulation!J17</f>
        <v>0</v>
      </c>
      <c r="F19" s="641">
        <f>B1_Kalkulation!K17</f>
        <v>0</v>
      </c>
      <c r="G19" s="641">
        <f>B1_Kalkulation!L17</f>
        <v>0</v>
      </c>
      <c r="H19" s="619"/>
      <c r="I19" s="618"/>
      <c r="J19" s="618"/>
      <c r="K19" s="618"/>
      <c r="L19" s="618"/>
      <c r="M19" s="4"/>
    </row>
    <row r="20" spans="1:13" ht="9.9499999999999993" customHeight="1" x14ac:dyDescent="0.2">
      <c r="A20" s="632"/>
      <c r="B20" s="619"/>
      <c r="C20" s="619"/>
      <c r="D20" s="619"/>
      <c r="E20" s="619"/>
      <c r="F20" s="619"/>
      <c r="G20" s="619"/>
      <c r="H20" s="619"/>
      <c r="I20" s="618"/>
      <c r="J20" s="618"/>
      <c r="K20" s="618"/>
      <c r="L20" s="618"/>
      <c r="M20" s="4"/>
    </row>
    <row r="21" spans="1:13" x14ac:dyDescent="0.2">
      <c r="A21" s="632"/>
      <c r="B21" s="1496" t="s">
        <v>368</v>
      </c>
      <c r="C21" s="1496"/>
      <c r="D21" s="1496"/>
      <c r="E21" s="1496"/>
      <c r="F21" s="1496"/>
      <c r="G21" s="1496"/>
      <c r="H21" s="1496"/>
      <c r="I21" s="618"/>
      <c r="J21" s="618"/>
      <c r="K21" s="618"/>
      <c r="L21" s="618"/>
      <c r="M21" s="4"/>
    </row>
    <row r="22" spans="1:13" x14ac:dyDescent="0.2">
      <c r="A22" s="632"/>
      <c r="B22" s="637" t="s">
        <v>351</v>
      </c>
      <c r="C22" s="638" t="s">
        <v>352</v>
      </c>
      <c r="D22" s="642" t="s">
        <v>353</v>
      </c>
      <c r="E22" s="642" t="s">
        <v>354</v>
      </c>
      <c r="F22" s="642" t="s">
        <v>355</v>
      </c>
      <c r="G22" s="642" t="s">
        <v>356</v>
      </c>
      <c r="H22" s="638" t="s">
        <v>365</v>
      </c>
      <c r="I22" s="618"/>
      <c r="J22" s="618"/>
      <c r="K22" s="618"/>
      <c r="L22" s="618"/>
      <c r="M22" s="4"/>
    </row>
    <row r="23" spans="1:13" x14ac:dyDescent="0.2">
      <c r="A23" s="632"/>
      <c r="B23" s="639" t="s">
        <v>337</v>
      </c>
      <c r="C23" s="643">
        <f>B1_Kalkulation!I20</f>
        <v>0</v>
      </c>
      <c r="D23" s="643">
        <f>B1_Kalkulation!I21</f>
        <v>0</v>
      </c>
      <c r="E23" s="643">
        <f>B1_Kalkulation!I22</f>
        <v>0</v>
      </c>
      <c r="F23" s="643">
        <f>B1_Kalkulation!I23</f>
        <v>0</v>
      </c>
      <c r="G23" s="643">
        <f>B1_Kalkulation!I24</f>
        <v>0</v>
      </c>
      <c r="H23" s="644">
        <f>B1_Kalkulation!I26</f>
        <v>0</v>
      </c>
      <c r="I23" s="618"/>
      <c r="J23" s="618"/>
      <c r="K23" s="618"/>
      <c r="L23" s="618"/>
      <c r="M23" s="4"/>
    </row>
    <row r="24" spans="1:13" x14ac:dyDescent="0.2">
      <c r="A24" s="1122"/>
      <c r="B24" s="904" t="s">
        <v>747</v>
      </c>
      <c r="C24" s="805">
        <f>B1_Kalkulation!O20</f>
        <v>0</v>
      </c>
      <c r="D24" s="805">
        <f>B1_Kalkulation!O21</f>
        <v>0</v>
      </c>
      <c r="E24" s="805">
        <f>B1_Kalkulation!O22</f>
        <v>0</v>
      </c>
      <c r="F24" s="805">
        <f>B1_Kalkulation!O23</f>
        <v>0</v>
      </c>
      <c r="G24" s="805">
        <f>B1_Kalkulation!O24</f>
        <v>0</v>
      </c>
      <c r="H24" s="806">
        <f>B1_Kalkulation!O26</f>
        <v>0</v>
      </c>
      <c r="I24" s="618"/>
      <c r="J24" s="618"/>
      <c r="K24" s="618"/>
      <c r="L24" s="618"/>
      <c r="M24" s="4"/>
    </row>
    <row r="25" spans="1:13" ht="9.9499999999999993" customHeight="1" x14ac:dyDescent="0.2">
      <c r="A25" s="632"/>
      <c r="B25" s="619"/>
      <c r="C25" s="619"/>
      <c r="D25" s="619"/>
      <c r="E25" s="619"/>
      <c r="F25" s="619"/>
      <c r="G25" s="619"/>
      <c r="H25" s="619"/>
      <c r="I25" s="618"/>
      <c r="J25" s="618"/>
      <c r="K25" s="618"/>
      <c r="L25" s="618"/>
      <c r="M25" s="4"/>
    </row>
    <row r="26" spans="1:13" ht="36" customHeight="1" x14ac:dyDescent="0.2">
      <c r="A26" s="632"/>
      <c r="B26" s="645" t="s">
        <v>357</v>
      </c>
      <c r="C26" s="637" t="s">
        <v>140</v>
      </c>
      <c r="D26" s="646" t="s">
        <v>366</v>
      </c>
      <c r="E26" s="646" t="s">
        <v>62</v>
      </c>
      <c r="F26" s="637" t="s">
        <v>32</v>
      </c>
      <c r="G26" s="637" t="s">
        <v>33</v>
      </c>
      <c r="H26" s="646" t="s">
        <v>367</v>
      </c>
      <c r="I26" s="646" t="s">
        <v>370</v>
      </c>
      <c r="J26" s="618"/>
      <c r="K26" s="618"/>
      <c r="L26" s="618"/>
      <c r="M26" s="4"/>
    </row>
    <row r="27" spans="1:13" x14ac:dyDescent="0.2">
      <c r="A27" s="632"/>
      <c r="B27" s="639" t="s">
        <v>337</v>
      </c>
      <c r="C27" s="643">
        <f>B1_Kalkulation!I27</f>
        <v>0</v>
      </c>
      <c r="D27" s="643">
        <f>B1_Kalkulation!I28</f>
        <v>0</v>
      </c>
      <c r="E27" s="643">
        <f>B1_Kalkulation!I29</f>
        <v>0</v>
      </c>
      <c r="F27" s="643">
        <f>B1_Kalkulation!I30</f>
        <v>0</v>
      </c>
      <c r="G27" s="643">
        <f>B1_Kalkulation!I31</f>
        <v>0</v>
      </c>
      <c r="H27" s="643">
        <v>20</v>
      </c>
      <c r="I27" s="647">
        <f>B1_Kalkulation!J32</f>
        <v>0</v>
      </c>
      <c r="J27" s="618"/>
      <c r="K27" s="618"/>
      <c r="L27" s="618"/>
      <c r="M27" s="4"/>
    </row>
    <row r="28" spans="1:13" x14ac:dyDescent="0.2">
      <c r="A28" s="1122"/>
      <c r="B28" s="904" t="s">
        <v>747</v>
      </c>
      <c r="C28" s="643">
        <f>B1_Kalkulation!O27</f>
        <v>0</v>
      </c>
      <c r="D28" s="643">
        <f>B1_Kalkulation!O28</f>
        <v>0</v>
      </c>
      <c r="E28" s="643">
        <f>B1_Kalkulation!O29</f>
        <v>0</v>
      </c>
      <c r="F28" s="643">
        <f>B1_Kalkulation!O30</f>
        <v>0</v>
      </c>
      <c r="G28" s="643">
        <f>B1_Kalkulation!O31</f>
        <v>0</v>
      </c>
      <c r="H28" s="643">
        <v>20</v>
      </c>
      <c r="I28" s="648"/>
      <c r="J28" s="618"/>
      <c r="K28" s="618"/>
      <c r="L28" s="618"/>
      <c r="M28" s="4"/>
    </row>
    <row r="29" spans="1:13" ht="9.9499999999999993" customHeight="1" x14ac:dyDescent="0.2">
      <c r="A29" s="632"/>
      <c r="B29" s="619"/>
      <c r="C29" s="649"/>
      <c r="D29" s="649"/>
      <c r="E29" s="649"/>
      <c r="F29" s="649"/>
      <c r="G29" s="649"/>
      <c r="H29" s="649"/>
      <c r="I29" s="618"/>
      <c r="J29" s="618"/>
      <c r="K29" s="618"/>
      <c r="L29" s="618"/>
      <c r="M29" s="4"/>
    </row>
    <row r="30" spans="1:13" x14ac:dyDescent="0.2">
      <c r="A30" s="632"/>
      <c r="B30" s="650" t="s">
        <v>369</v>
      </c>
      <c r="C30" s="650"/>
      <c r="D30" s="650"/>
      <c r="E30" s="650"/>
      <c r="F30" s="650"/>
      <c r="G30" s="650"/>
      <c r="H30" s="650"/>
      <c r="I30" s="650"/>
      <c r="J30" s="618"/>
      <c r="K30" s="618"/>
      <c r="L30" s="618"/>
      <c r="M30" s="4"/>
    </row>
    <row r="31" spans="1:13" ht="38.25" x14ac:dyDescent="0.2">
      <c r="A31" s="632"/>
      <c r="B31" s="637" t="s">
        <v>359</v>
      </c>
      <c r="C31" s="637" t="s">
        <v>140</v>
      </c>
      <c r="D31" s="646" t="s">
        <v>366</v>
      </c>
      <c r="E31" s="646" t="s">
        <v>62</v>
      </c>
      <c r="F31" s="637" t="s">
        <v>32</v>
      </c>
      <c r="G31" s="637" t="s">
        <v>33</v>
      </c>
      <c r="H31" s="646" t="s">
        <v>367</v>
      </c>
      <c r="I31" s="646" t="s">
        <v>370</v>
      </c>
      <c r="J31" s="618"/>
      <c r="K31" s="618"/>
      <c r="L31" s="618"/>
      <c r="M31" s="4"/>
    </row>
    <row r="32" spans="1:13" x14ac:dyDescent="0.2">
      <c r="A32" s="632"/>
      <c r="B32" s="789">
        <f>B1_Kalkulation!L26</f>
        <v>0</v>
      </c>
      <c r="C32" s="789">
        <f>B1_Kalkulation!L27</f>
        <v>0</v>
      </c>
      <c r="D32" s="789">
        <f>B1_Kalkulation!L28</f>
        <v>0</v>
      </c>
      <c r="E32" s="789">
        <f>B1_Kalkulation!L29</f>
        <v>0</v>
      </c>
      <c r="F32" s="789">
        <f>B1_Kalkulation!L30</f>
        <v>0</v>
      </c>
      <c r="G32" s="789">
        <f>B1_Kalkulation!L31</f>
        <v>0</v>
      </c>
      <c r="H32" s="789">
        <f>B1_Kalkulation!L33</f>
        <v>0</v>
      </c>
      <c r="I32" s="790">
        <f>B1_Kalkulation!L32</f>
        <v>0</v>
      </c>
      <c r="J32" s="618"/>
      <c r="K32" s="618"/>
      <c r="L32" s="618"/>
      <c r="M32" s="4"/>
    </row>
    <row r="33" spans="1:13" ht="15" x14ac:dyDescent="0.25">
      <c r="A33" s="632"/>
      <c r="B33" s="803" t="s">
        <v>94</v>
      </c>
      <c r="C33" s="794"/>
      <c r="D33" s="794"/>
      <c r="E33" s="794"/>
      <c r="F33" s="794"/>
      <c r="G33" s="794"/>
      <c r="H33" s="794"/>
      <c r="I33" s="795"/>
      <c r="J33" s="796"/>
      <c r="K33" s="796"/>
      <c r="L33" s="797"/>
      <c r="M33" s="4"/>
    </row>
    <row r="34" spans="1:13" ht="38.25" x14ac:dyDescent="0.2">
      <c r="A34" s="632"/>
      <c r="B34" s="798" t="s">
        <v>38</v>
      </c>
      <c r="C34" s="798" t="s">
        <v>267</v>
      </c>
      <c r="D34" s="798" t="s">
        <v>493</v>
      </c>
      <c r="E34" s="798" t="s">
        <v>494</v>
      </c>
      <c r="F34" s="798" t="s">
        <v>495</v>
      </c>
      <c r="G34" s="798" t="s">
        <v>496</v>
      </c>
      <c r="H34" s="798" t="s">
        <v>497</v>
      </c>
      <c r="I34" s="799" t="s">
        <v>51</v>
      </c>
      <c r="J34" s="646" t="s">
        <v>53</v>
      </c>
      <c r="K34" s="646" t="s">
        <v>55</v>
      </c>
      <c r="L34" s="646" t="s">
        <v>269</v>
      </c>
      <c r="M34" s="4"/>
    </row>
    <row r="35" spans="1:13" x14ac:dyDescent="0.2">
      <c r="A35" s="632"/>
      <c r="B35" s="791">
        <f>B1_Kalkulation!L36</f>
        <v>0</v>
      </c>
      <c r="C35" s="791">
        <f>B1_Kalkulation!L37</f>
        <v>0</v>
      </c>
      <c r="D35" s="791">
        <f>B1_Kalkulation!L38</f>
        <v>0</v>
      </c>
      <c r="E35" s="791">
        <f>B1_Kalkulation!L39</f>
        <v>0</v>
      </c>
      <c r="F35" s="791">
        <f>B1_Kalkulation!L40</f>
        <v>0</v>
      </c>
      <c r="G35" s="791">
        <f>B1_Kalkulation!L41</f>
        <v>0</v>
      </c>
      <c r="H35" s="791">
        <f>B1_Kalkulation!L42</f>
        <v>0</v>
      </c>
      <c r="I35" s="791">
        <f>B1_Kalkulation!L43</f>
        <v>0</v>
      </c>
      <c r="J35" s="792">
        <f>B1_Kalkulation!L44</f>
        <v>0</v>
      </c>
      <c r="K35" s="792">
        <f>B1_Kalkulation!L45</f>
        <v>0</v>
      </c>
      <c r="L35" s="792">
        <f>B1_Kalkulation!L46</f>
        <v>0</v>
      </c>
      <c r="M35" s="4"/>
    </row>
    <row r="36" spans="1:13" x14ac:dyDescent="0.2">
      <c r="A36" s="632"/>
      <c r="B36" s="800" t="s">
        <v>498</v>
      </c>
      <c r="C36" s="801"/>
      <c r="D36" s="801"/>
      <c r="E36" s="801"/>
      <c r="F36" s="801"/>
      <c r="G36" s="801"/>
      <c r="H36" s="801"/>
      <c r="I36" s="802"/>
      <c r="J36" s="793"/>
      <c r="K36" s="793"/>
      <c r="L36" s="793"/>
      <c r="M36" s="4"/>
    </row>
    <row r="37" spans="1:13" ht="24" x14ac:dyDescent="0.2">
      <c r="A37" s="632"/>
      <c r="B37" s="804" t="s">
        <v>32</v>
      </c>
      <c r="C37" s="804" t="s">
        <v>34</v>
      </c>
      <c r="D37" s="804" t="s">
        <v>499</v>
      </c>
      <c r="E37" s="804" t="s">
        <v>500</v>
      </c>
      <c r="F37" s="804" t="s">
        <v>36</v>
      </c>
      <c r="G37" s="804" t="s">
        <v>33</v>
      </c>
      <c r="H37" s="804" t="s">
        <v>281</v>
      </c>
      <c r="I37" s="804" t="s">
        <v>269</v>
      </c>
      <c r="J37" s="793"/>
      <c r="K37" s="793"/>
      <c r="L37" s="793"/>
      <c r="M37" s="4"/>
    </row>
    <row r="38" spans="1:13" x14ac:dyDescent="0.2">
      <c r="A38" s="632"/>
      <c r="B38" s="792">
        <f>B1_Kalkulation!L49</f>
        <v>0</v>
      </c>
      <c r="C38" s="792">
        <f>B1_Kalkulation!L50</f>
        <v>0</v>
      </c>
      <c r="D38" s="792">
        <f>B1_Kalkulation!L51</f>
        <v>0</v>
      </c>
      <c r="E38" s="792">
        <f>B1_Kalkulation!L52</f>
        <v>0</v>
      </c>
      <c r="F38" s="792">
        <f>B1_Kalkulation!L53</f>
        <v>0</v>
      </c>
      <c r="G38" s="792">
        <f>B1_Kalkulation!L54</f>
        <v>0</v>
      </c>
      <c r="H38" s="792">
        <f>B1_Kalkulation!L55</f>
        <v>0</v>
      </c>
      <c r="I38" s="792">
        <f>B1_Kalkulation!L56</f>
        <v>0</v>
      </c>
      <c r="J38" s="618"/>
      <c r="K38" s="618"/>
      <c r="L38" s="618"/>
      <c r="M38" s="4"/>
    </row>
    <row r="39" spans="1:13" ht="9.9499999999999993" customHeight="1" x14ac:dyDescent="0.2">
      <c r="A39" s="617"/>
      <c r="B39" s="618"/>
      <c r="C39" s="618"/>
      <c r="D39" s="618"/>
      <c r="E39" s="618"/>
      <c r="F39" s="618"/>
      <c r="G39" s="618"/>
      <c r="H39" s="618"/>
      <c r="I39" s="618"/>
      <c r="J39" s="618"/>
      <c r="K39" s="618"/>
      <c r="M39" s="4"/>
    </row>
    <row r="40" spans="1:13" x14ac:dyDescent="0.2">
      <c r="A40" s="617"/>
      <c r="B40" s="1493" t="s">
        <v>372</v>
      </c>
      <c r="C40" s="1493"/>
      <c r="D40" s="1493"/>
      <c r="E40" s="1493"/>
      <c r="F40" s="1493"/>
      <c r="G40" s="1493"/>
      <c r="H40" s="651"/>
      <c r="I40" s="1497" t="s">
        <v>376</v>
      </c>
      <c r="J40" s="1498"/>
      <c r="K40" s="1499"/>
      <c r="L40" s="651"/>
      <c r="M40" s="4"/>
    </row>
    <row r="41" spans="1:13" ht="38.25" x14ac:dyDescent="0.2">
      <c r="A41" s="617"/>
      <c r="B41" s="637" t="s">
        <v>351</v>
      </c>
      <c r="C41" s="638" t="s">
        <v>352</v>
      </c>
      <c r="D41" s="638" t="s">
        <v>353</v>
      </c>
      <c r="E41" s="638" t="s">
        <v>354</v>
      </c>
      <c r="F41" s="638" t="s">
        <v>355</v>
      </c>
      <c r="G41" s="638" t="s">
        <v>356</v>
      </c>
      <c r="H41" s="637" t="s">
        <v>375</v>
      </c>
      <c r="I41" s="637" t="s">
        <v>290</v>
      </c>
      <c r="J41" s="637" t="s">
        <v>374</v>
      </c>
      <c r="K41" s="637" t="str">
        <f>B1_Kalkulation!K59</f>
        <v>43 b SGB XI</v>
      </c>
      <c r="L41" s="1174" t="str">
        <f>IF(KAT!M103=1,"Fahrtkosten - Beförderung intern","Fahrtkosten - Beförderung extern")</f>
        <v>Fahrtkosten - Beförderung extern</v>
      </c>
      <c r="M41" s="1124"/>
    </row>
    <row r="42" spans="1:13" x14ac:dyDescent="0.2">
      <c r="A42" s="617"/>
      <c r="B42" s="639" t="s">
        <v>373</v>
      </c>
      <c r="C42" s="652">
        <f>B1_Kalkulation!B60</f>
        <v>0</v>
      </c>
      <c r="D42" s="652">
        <f>IFERROR(B1_Kalkulation!C60,"")</f>
        <v>0</v>
      </c>
      <c r="E42" s="652">
        <f>IFERROR(B1_Kalkulation!D60,"")</f>
        <v>0</v>
      </c>
      <c r="F42" s="652">
        <f>IFERROR(B1_Kalkulation!E60,"")</f>
        <v>0</v>
      </c>
      <c r="G42" s="652">
        <f>IFERROR(B1_Kalkulation!F60,"")</f>
        <v>0</v>
      </c>
      <c r="H42" s="652" t="str">
        <f>IFERROR(B1_Kalkulation!H60,"")</f>
        <v/>
      </c>
      <c r="I42" s="652">
        <f>IFERROR(B1_Kalkulation!I60,"")</f>
        <v>0</v>
      </c>
      <c r="J42" s="652">
        <f>B1_Kalkulation!J60</f>
        <v>0</v>
      </c>
      <c r="K42" s="652">
        <f>B1_Kalkulation!K60</f>
        <v>0</v>
      </c>
      <c r="L42" s="652">
        <f>B1_Kalkulation!L60</f>
        <v>0</v>
      </c>
      <c r="M42" s="1124"/>
    </row>
    <row r="43" spans="1:13" x14ac:dyDescent="0.2">
      <c r="A43" s="1123"/>
      <c r="B43" s="904" t="s">
        <v>747</v>
      </c>
      <c r="C43" s="653">
        <f>B1_Kalkulation!B64</f>
        <v>0</v>
      </c>
      <c r="D43" s="653" t="str">
        <f>B1_Kalkulation!C64</f>
        <v/>
      </c>
      <c r="E43" s="653" t="str">
        <f>B1_Kalkulation!D64</f>
        <v/>
      </c>
      <c r="F43" s="653" t="str">
        <f>B1_Kalkulation!E64</f>
        <v/>
      </c>
      <c r="G43" s="653" t="str">
        <f>B1_Kalkulation!F64</f>
        <v/>
      </c>
      <c r="H43" s="654"/>
      <c r="I43" s="653" t="str">
        <f>B1_Kalkulation!I64</f>
        <v/>
      </c>
      <c r="J43" s="653" t="str">
        <f>B1_Kalkulation!J64</f>
        <v/>
      </c>
      <c r="K43" s="652" t="str">
        <f>B1_Kalkulation!K64</f>
        <v/>
      </c>
      <c r="L43" s="655"/>
      <c r="M43" s="4"/>
    </row>
    <row r="44" spans="1:13" ht="14.25" customHeight="1" x14ac:dyDescent="0.2">
      <c r="A44" s="617"/>
      <c r="B44" s="618"/>
      <c r="C44" s="618"/>
      <c r="D44" s="618"/>
      <c r="E44" s="618"/>
      <c r="F44" s="618"/>
      <c r="G44" s="618"/>
      <c r="H44" s="618"/>
      <c r="I44" s="618"/>
      <c r="J44" s="618"/>
      <c r="K44" s="618"/>
      <c r="L44" s="618"/>
      <c r="M44" s="4"/>
    </row>
    <row r="45" spans="1:13" ht="14.25" customHeight="1" x14ac:dyDescent="0.2">
      <c r="A45" s="617"/>
      <c r="B45" s="1491" t="s">
        <v>371</v>
      </c>
      <c r="C45" s="1492"/>
      <c r="D45" s="1492"/>
      <c r="E45" s="1492"/>
      <c r="F45" s="1492"/>
      <c r="G45" s="1492"/>
      <c r="H45" s="1492"/>
      <c r="I45" s="1492"/>
      <c r="J45" s="1492"/>
      <c r="K45" s="1492"/>
      <c r="L45" s="656"/>
      <c r="M45" s="4"/>
    </row>
    <row r="46" spans="1:13" x14ac:dyDescent="0.2">
      <c r="A46" s="617"/>
      <c r="B46" s="1492"/>
      <c r="C46" s="1492"/>
      <c r="D46" s="1492"/>
      <c r="E46" s="1492"/>
      <c r="F46" s="1492"/>
      <c r="G46" s="1492"/>
      <c r="H46" s="1492"/>
      <c r="I46" s="1492"/>
      <c r="J46" s="1492"/>
      <c r="K46" s="1492"/>
      <c r="L46" s="656"/>
      <c r="M46" s="4"/>
    </row>
    <row r="47" spans="1:13" x14ac:dyDescent="0.2">
      <c r="A47" s="617"/>
      <c r="B47" s="927"/>
      <c r="C47" s="927"/>
      <c r="D47" s="656"/>
      <c r="E47" s="656"/>
      <c r="F47" s="657"/>
      <c r="G47" s="657"/>
      <c r="H47" s="657"/>
      <c r="I47" s="657"/>
      <c r="J47" s="657"/>
      <c r="K47" s="657"/>
      <c r="L47" s="657"/>
      <c r="M47" s="4"/>
    </row>
    <row r="48" spans="1:13" x14ac:dyDescent="0.2">
      <c r="A48" s="617"/>
      <c r="B48" s="95"/>
      <c r="C48" s="95"/>
      <c r="D48" s="618"/>
      <c r="E48" s="618"/>
      <c r="F48" s="618"/>
      <c r="G48" s="618"/>
      <c r="H48" s="618"/>
      <c r="I48" s="618"/>
      <c r="J48" s="618"/>
      <c r="K48" s="618"/>
      <c r="L48" s="618"/>
      <c r="M48" s="4"/>
    </row>
    <row r="49" spans="1:13" x14ac:dyDescent="0.2">
      <c r="A49" s="617"/>
      <c r="B49" s="618"/>
      <c r="C49" s="618"/>
      <c r="D49" s="618"/>
      <c r="E49" s="618"/>
      <c r="F49" s="618"/>
      <c r="G49" s="618"/>
      <c r="H49" s="618"/>
      <c r="I49" s="618"/>
      <c r="J49" s="618"/>
      <c r="K49" s="618"/>
      <c r="L49" s="618"/>
      <c r="M49" s="4"/>
    </row>
    <row r="50" spans="1:13" x14ac:dyDescent="0.2">
      <c r="A50" s="617"/>
      <c r="B50" s="659"/>
      <c r="C50" s="659"/>
      <c r="D50" s="618"/>
      <c r="E50" s="618"/>
      <c r="F50" s="618"/>
      <c r="G50" s="618"/>
      <c r="H50" s="771"/>
      <c r="I50" s="618"/>
      <c r="J50" s="618"/>
      <c r="K50" s="618"/>
      <c r="L50" s="618"/>
      <c r="M50" s="4"/>
    </row>
    <row r="51" spans="1:13" x14ac:dyDescent="0.2">
      <c r="A51" s="617"/>
      <c r="B51" s="660" t="s">
        <v>527</v>
      </c>
      <c r="C51" s="618"/>
      <c r="D51" s="618"/>
      <c r="E51" s="618"/>
      <c r="F51" s="618"/>
      <c r="G51" s="618"/>
      <c r="H51" s="660"/>
      <c r="I51" s="618"/>
      <c r="J51" s="618"/>
      <c r="K51" s="618"/>
      <c r="L51" s="618"/>
      <c r="M51" s="4"/>
    </row>
    <row r="52" spans="1:13" ht="15" x14ac:dyDescent="0.25">
      <c r="A52" s="2"/>
      <c r="B52" s="658"/>
      <c r="C52" s="618"/>
      <c r="D52" s="618"/>
      <c r="E52" s="618"/>
      <c r="F52" s="618"/>
      <c r="G52" s="618"/>
      <c r="H52" s="618"/>
      <c r="I52" s="618"/>
      <c r="J52" s="618"/>
      <c r="K52" s="618"/>
      <c r="L52" s="618"/>
      <c r="M52" s="4"/>
    </row>
    <row r="53" spans="1:13" ht="15" x14ac:dyDescent="0.25">
      <c r="A53" s="35"/>
      <c r="B53" s="661"/>
      <c r="C53" s="659"/>
      <c r="D53" s="659"/>
      <c r="E53" s="659"/>
      <c r="F53" s="659"/>
      <c r="G53" s="659"/>
      <c r="H53" s="659"/>
      <c r="I53" s="659"/>
      <c r="J53" s="659"/>
      <c r="K53" s="659"/>
      <c r="L53" s="659"/>
      <c r="M53" s="447"/>
    </row>
  </sheetData>
  <sheetProtection algorithmName="SHA-512" hashValue="43j2ULNtmbmII3y+AWLzhgjpjyMvJlZgVu5F6BSU8LCWzUnIL/OROKv5+Ox78nVBeOA1nMqmJ0iEB4bK+EYa7w==" saltValue="4SpNxI6UOt6uIyFKGlnacA==" spinCount="100000" sheet="1" objects="1" scenarios="1"/>
  <customSheetViews>
    <customSheetView guid="{9119B1A0-FD79-4FE4-B78E-10E0AEB8080B}" showPageBreaks="1" showGridLines="0" fitToPage="1" printArea="1" view="pageLayout" topLeftCell="D43">
      <selection activeCell="H50" sqref="H50"/>
      <pageMargins left="0.70866141732283472" right="0.70866141732283472" top="0.78740157480314965" bottom="0.78740157480314965" header="0.31496062992125984" footer="0.31496062992125984"/>
      <pageSetup paperSize="9" scale="59" orientation="landscape" r:id="rId1"/>
      <headerFooter>
        <oddHeader>&amp;CSeite 5</oddHeader>
        <oddFooter xml:space="preserve">&amp;LVersion: 21.06.2022&amp;CVerhandlungsunterlagen SGB XI (vereinfacht B1)&amp;RPSK-Beschluss Nr. 3-2022 vom 21.06.2022 </oddFooter>
      </headerFooter>
    </customSheetView>
  </customSheetViews>
  <mergeCells count="16">
    <mergeCell ref="A1:L1"/>
    <mergeCell ref="A2:L2"/>
    <mergeCell ref="B13:D13"/>
    <mergeCell ref="C9:D9"/>
    <mergeCell ref="B45:K46"/>
    <mergeCell ref="B40:G40"/>
    <mergeCell ref="B15:D15"/>
    <mergeCell ref="B21:H21"/>
    <mergeCell ref="I40:K40"/>
    <mergeCell ref="B5:D5"/>
    <mergeCell ref="B10:D10"/>
    <mergeCell ref="B11:D11"/>
    <mergeCell ref="B12:D12"/>
    <mergeCell ref="B6:D6"/>
    <mergeCell ref="B7:D7"/>
    <mergeCell ref="B8:D8"/>
  </mergeCells>
  <pageMargins left="0.70866141732283472" right="0.70866141732283472" top="0.78740157480314965" bottom="0.78740157480314965" header="0.31496062992125984" footer="0.31496062992125984"/>
  <pageSetup paperSize="9" scale="57" orientation="landscape"/>
  <headerFooter>
    <oddHeader>&amp;CSeite 5</oddHeader>
    <oddFooter>&amp;LVersion: 25.11.2024&amp;CVerhandlungsunterlagen SGB XI (vereinfacht B1)&amp;RPSK-Beschluss vom 07.11.2024</oddFooter>
  </headerFooter>
  <extLst>
    <ext xmlns:x14="http://schemas.microsoft.com/office/spreadsheetml/2009/9/main" uri="{78C0D931-6437-407d-A8EE-F0AAD7539E65}">
      <x14:conditionalFormattings>
        <x14:conditionalFormatting xmlns:xm="http://schemas.microsoft.com/office/excel/2006/main">
          <x14:cfRule type="expression" priority="10" id="{9987C3A1-A003-4D4C-B979-49BBD3C3A160}">
            <xm:f>KAT!$A$160="nein"</xm:f>
            <x14:dxf>
              <fill>
                <patternFill>
                  <bgColor theme="0"/>
                </patternFill>
              </fill>
            </x14:dxf>
          </x14:cfRule>
          <xm:sqref>A19</xm:sqref>
        </x14:conditionalFormatting>
        <x14:conditionalFormatting xmlns:xm="http://schemas.microsoft.com/office/excel/2006/main">
          <x14:cfRule type="expression" priority="9" id="{8248C2C6-E8D8-4D14-AA3C-20D06FF32073}">
            <xm:f>KAT!$A$160="nein"</xm:f>
            <x14:dxf>
              <fill>
                <patternFill>
                  <bgColor theme="0"/>
                </patternFill>
              </fill>
            </x14:dxf>
          </x14:cfRule>
          <xm:sqref>A24</xm:sqref>
        </x14:conditionalFormatting>
        <x14:conditionalFormatting xmlns:xm="http://schemas.microsoft.com/office/excel/2006/main">
          <x14:cfRule type="expression" priority="5" id="{824AEC44-4412-467A-B98B-688A1C58DA49}">
            <xm:f>KAT!$A$160="nein"</xm:f>
            <x14:dxf>
              <fill>
                <patternFill>
                  <bgColor theme="0"/>
                </patternFill>
              </fill>
            </x14:dxf>
          </x14:cfRule>
          <xm:sqref>A28</xm:sqref>
        </x14:conditionalFormatting>
        <x14:conditionalFormatting xmlns:xm="http://schemas.microsoft.com/office/excel/2006/main">
          <x14:cfRule type="expression" priority="4" id="{D5DF26BF-EECC-4822-A1DE-66345CAAB5CB}">
            <xm:f>KAT!$A$160="nein"</xm:f>
            <x14:dxf>
              <fill>
                <patternFill>
                  <bgColor theme="0"/>
                </patternFill>
              </fill>
            </x14:dxf>
          </x14:cfRule>
          <xm:sqref>A43</xm:sqref>
        </x14:conditionalFormatting>
        <x14:conditionalFormatting xmlns:xm="http://schemas.microsoft.com/office/excel/2006/main">
          <x14:cfRule type="expression" priority="109" id="{3CE71780-CF6C-404E-9617-26151C1A7B0D}">
            <xm:f>'B1_Allgemeine Angaben'!$M$48=0</xm:f>
            <x14:dxf>
              <font>
                <color theme="0"/>
              </font>
              <border>
                <left/>
                <right/>
                <top style="thin">
                  <color auto="1"/>
                </top>
                <bottom/>
                <vertical/>
                <horizontal/>
              </border>
            </x14:dxf>
          </x14:cfRule>
          <xm:sqref>B19:G19 B24:H24 B28 B43:K43</xm:sqref>
        </x14:conditionalFormatting>
        <x14:conditionalFormatting xmlns:xm="http://schemas.microsoft.com/office/excel/2006/main">
          <x14:cfRule type="expression" priority="11" id="{6F0FCEB9-2AFA-4339-AC25-A0E3E7EBCA89}">
            <xm:f>B1_Berechnung!$O$10=1</xm:f>
            <x14:dxf>
              <font>
                <color theme="0" tint="-4.9989318521683403E-2"/>
              </font>
              <fill>
                <patternFill>
                  <bgColor theme="0" tint="-0.14996795556505021"/>
                </patternFill>
              </fill>
            </x14:dxf>
          </x14:cfRule>
          <xm:sqref>B47:K48</xm:sqref>
        </x14:conditionalFormatting>
        <x14:conditionalFormatting xmlns:xm="http://schemas.microsoft.com/office/excel/2006/main">
          <x14:cfRule type="expression" priority="113" id="{BFB2D2EA-3744-4A7B-A2D0-B1291C50C4E1}">
            <xm:f>'B1_Allgemeine Angaben'!$M$48=0</xm:f>
            <x14:dxf>
              <font>
                <color theme="0"/>
              </font>
              <fill>
                <patternFill>
                  <bgColor theme="0"/>
                </patternFill>
              </fill>
              <border>
                <left/>
                <right/>
                <top style="thin">
                  <color auto="1"/>
                </top>
                <bottom/>
                <vertical/>
                <horizontal/>
              </border>
            </x14:dxf>
          </x14:cfRule>
          <xm:sqref>C28:H28</xm:sqref>
        </x14:conditionalFormatting>
        <x14:conditionalFormatting xmlns:xm="http://schemas.microsoft.com/office/excel/2006/main">
          <x14:cfRule type="expression" priority="17" id="{D588BA57-92C5-4928-80D9-BC05051F1480}">
            <xm:f>'B1_Allgemeine Angaben'!$D$7&lt;&gt;"vst"</xm:f>
            <x14:dxf>
              <font>
                <color theme="0" tint="-0.14996795556505021"/>
              </font>
              <fill>
                <patternFill>
                  <bgColor theme="0" tint="-0.24994659260841701"/>
                </patternFill>
              </fill>
            </x14:dxf>
          </x14:cfRule>
          <xm:sqref>D37</xm:sqref>
        </x14:conditionalFormatting>
        <x14:conditionalFormatting xmlns:xm="http://schemas.microsoft.com/office/excel/2006/main">
          <x14:cfRule type="expression" priority="18" id="{54CCB9C2-34C4-441C-A1D9-B17D1637F399}">
            <xm:f>'B1_Allgemeine Angaben'!$D$7&lt;&gt;"vst"</xm:f>
            <x14:dxf>
              <font>
                <color theme="0" tint="-4.9989318521683403E-2"/>
              </font>
              <fill>
                <patternFill>
                  <bgColor theme="0" tint="-0.24994659260841701"/>
                </patternFill>
              </fill>
            </x14:dxf>
          </x14:cfRule>
          <xm:sqref>D38</xm:sqref>
        </x14:conditionalFormatting>
        <x14:conditionalFormatting xmlns:xm="http://schemas.microsoft.com/office/excel/2006/main">
          <x14:cfRule type="expression" priority="114" id="{3477268C-4DFF-4275-943B-268DF84D6E37}">
            <xm:f>'B1_Allgemeine Angaben'!$M$48=0</xm:f>
            <x14:dxf>
              <font>
                <color theme="0"/>
              </font>
              <fill>
                <patternFill>
                  <bgColor theme="0"/>
                </patternFill>
              </fill>
              <border>
                <left/>
                <right/>
                <top/>
                <bottom/>
                <vertical/>
                <horizontal/>
              </border>
            </x14:dxf>
          </x14:cfRule>
          <xm:sqref>F9:I9</xm:sqref>
        </x14:conditionalFormatting>
        <x14:conditionalFormatting xmlns:xm="http://schemas.microsoft.com/office/excel/2006/main">
          <x14:cfRule type="expression" priority="1" id="{AA209C21-1C6C-42D7-A5AD-9F2FFE196623}">
            <xm:f>'B1_Allgemeine Angaben'!$D$7&lt;&gt;"vst"</xm:f>
            <x14:dxf>
              <font>
                <color theme="0" tint="-0.14996795556505021"/>
              </font>
              <fill>
                <patternFill>
                  <bgColor theme="0" tint="-0.14996795556505021"/>
                </patternFill>
              </fill>
            </x14:dxf>
          </x14:cfRule>
          <xm:sqref>H41:H42</xm:sqref>
        </x14:conditionalFormatting>
        <x14:conditionalFormatting xmlns:xm="http://schemas.microsoft.com/office/excel/2006/main">
          <x14:cfRule type="expression" priority="20" id="{B59D2051-B28F-4C64-922A-0DFA7159B45B}">
            <xm:f>'B1_Allgemeine Angaben'!$D$7&lt;&gt;"tst"</xm:f>
            <x14:dxf>
              <font>
                <color theme="0"/>
              </font>
              <fill>
                <patternFill patternType="none">
                  <bgColor auto="1"/>
                </patternFill>
              </fill>
              <border>
                <right/>
                <top/>
                <bottom/>
                <vertical/>
                <horizontal/>
              </border>
            </x14:dxf>
          </x14:cfRule>
          <xm:sqref>L40:L42</xm:sqref>
        </x14:conditionalFormatting>
        <x14:conditionalFormatting xmlns:xm="http://schemas.microsoft.com/office/excel/2006/main">
          <x14:cfRule type="expression" priority="2" id="{7973BE09-BC51-47B8-BCD8-0C0171DBA9AB}">
            <xm:f>KAT!$A$160="nein"</xm:f>
            <x14:dxf>
              <fill>
                <patternFill>
                  <bgColor theme="0"/>
                </patternFill>
              </fill>
            </x14:dxf>
          </x14:cfRule>
          <xm:sqref>M41:M42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12</vt:i4>
      </vt:variant>
    </vt:vector>
  </HeadingPairs>
  <TitlesOfParts>
    <vt:vector size="24" baseType="lpstr">
      <vt:lpstr>B1_Versionsinfo</vt:lpstr>
      <vt:lpstr>KAT</vt:lpstr>
      <vt:lpstr>B1_Hinweise</vt:lpstr>
      <vt:lpstr>B1_Allgemeine Angaben</vt:lpstr>
      <vt:lpstr>B1_Kalkulation</vt:lpstr>
      <vt:lpstr>B1_Berechnung</vt:lpstr>
      <vt:lpstr>B1_Gesamtkalkulation</vt:lpstr>
      <vt:lpstr>B1_Bewohnervertretung</vt:lpstr>
      <vt:lpstr>B1_Ergebnis</vt:lpstr>
      <vt:lpstr>Adressverzeichnis</vt:lpstr>
      <vt:lpstr>B1_Archiv </vt:lpstr>
      <vt:lpstr>Tabelle1</vt:lpstr>
      <vt:lpstr>Adressverzeichnis!Druckbereich</vt:lpstr>
      <vt:lpstr>'B1_Allgemeine Angaben'!Druckbereich</vt:lpstr>
      <vt:lpstr>B1_Berechnung!Druckbereich</vt:lpstr>
      <vt:lpstr>B1_Bewohnervertretung!Druckbereich</vt:lpstr>
      <vt:lpstr>B1_Ergebnis!Druckbereich</vt:lpstr>
      <vt:lpstr>B1_Gesamtkalkulation!Druckbereich</vt:lpstr>
      <vt:lpstr>B1_Hinweise!Druckbereich</vt:lpstr>
      <vt:lpstr>B1_Kalkulation!Druckbereich</vt:lpstr>
      <vt:lpstr>B1_Versionsinfo!Druckbereich</vt:lpstr>
      <vt:lpstr>KAT!Druckbereich</vt:lpstr>
      <vt:lpstr>B1_Versionsinfo!Drucktitel</vt:lpstr>
      <vt:lpstr>eeadivisor</vt:lpstr>
    </vt:vector>
  </TitlesOfParts>
  <Company>AOK PLUS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Vereinfachtes Antragsverfahren für tarifungebundene Tages- und Kurzzeitpflegeeinrichtungen</dc:title>
  <dc:creator>AOK PLUS - Die Gesundheitskasse für Sachsen und Thüringen</dc:creator>
  <cp:lastPrinted>2024-11-25T13:44:03Z</cp:lastPrinted>
  <dcterms:created xsi:type="dcterms:W3CDTF">2012-08-21T12:23:19Z</dcterms:created>
  <dcterms:modified xsi:type="dcterms:W3CDTF">2024-11-25T13:44:10Z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f72c9e-ff9b-4d29-a8be-f698af1f1989_Enabled">
    <vt:lpwstr>true</vt:lpwstr>
  </property>
  <property fmtid="{D5CDD505-2E9C-101B-9397-08002B2CF9AE}" pid="3" name="MSIP_Label_94f72c9e-ff9b-4d29-a8be-f698af1f1989_SetDate">
    <vt:lpwstr>2024-11-22T11:14:06Z</vt:lpwstr>
  </property>
  <property fmtid="{D5CDD505-2E9C-101B-9397-08002B2CF9AE}" pid="4" name="MSIP_Label_94f72c9e-ff9b-4d29-a8be-f698af1f1989_Method">
    <vt:lpwstr>Privileged</vt:lpwstr>
  </property>
  <property fmtid="{D5CDD505-2E9C-101B-9397-08002B2CF9AE}" pid="5" name="MSIP_Label_94f72c9e-ff9b-4d29-a8be-f698af1f1989_Name">
    <vt:lpwstr>öffentlich</vt:lpwstr>
  </property>
  <property fmtid="{D5CDD505-2E9C-101B-9397-08002B2CF9AE}" pid="6" name="MSIP_Label_94f72c9e-ff9b-4d29-a8be-f698af1f1989_SiteId">
    <vt:lpwstr>f5342d95-aa7e-460f-b3ed-51b1514dd06a</vt:lpwstr>
  </property>
  <property fmtid="{D5CDD505-2E9C-101B-9397-08002B2CF9AE}" pid="7" name="MSIP_Label_94f72c9e-ff9b-4d29-a8be-f698af1f1989_ActionId">
    <vt:lpwstr>62a6db6f-4340-4304-b499-5a96d73e69a0</vt:lpwstr>
  </property>
  <property fmtid="{D5CDD505-2E9C-101B-9397-08002B2CF9AE}" pid="8" name="MSIP_Label_94f72c9e-ff9b-4d29-a8be-f698af1f1989_ContentBits">
    <vt:lpwstr>2</vt:lpwstr>
  </property>
</Properties>
</file>