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T:\3. SAuB\14 Entgelte\Entgelte Teilhabe\6. Verhandlungen\Anträge\SGB IX\Miete Wohnkosten\2026\"/>
    </mc:Choice>
  </mc:AlternateContent>
  <xr:revisionPtr revIDLastSave="0" documentId="13_ncr:1_{75E5D816-F6F0-49F3-A49C-BE25C183116D}" xr6:coauthVersionLast="47" xr6:coauthVersionMax="47" xr10:uidLastSave="{00000000-0000-0000-0000-000000000000}"/>
  <bookViews>
    <workbookView xWindow="-110" yWindow="-110" windowWidth="19420" windowHeight="10300" firstSheet="1" activeTab="1" xr2:uid="{00000000-000D-0000-FFFF-FFFF00000000}"/>
  </bookViews>
  <sheets>
    <sheet name="Hinweise" sheetId="14" r:id="rId1"/>
    <sheet name="Stammblatt" sheetId="4" r:id="rId2"/>
    <sheet name="Vereinbarung 2026" sheetId="12" r:id="rId3"/>
    <sheet name="Budgetabgleich 2026" sheetId="8" r:id="rId4"/>
    <sheet name="Landkreise" sheetId="11" state="hidden" r:id="rId5"/>
    <sheet name="Wohnraumüberlassungskosten" sheetId="5" r:id="rId6"/>
    <sheet name="Nebenkosten" sheetId="6" r:id="rId7"/>
    <sheet name="Lebensunterhalt" sheetId="7" r:id="rId8"/>
    <sheet name="Antrag zur Mietübernahme KSV" sheetId="1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fA_Gebäude" localSheetId="7">#REF!</definedName>
    <definedName name="AfA_Gebäude" localSheetId="6">#REF!</definedName>
    <definedName name="AfA_Gebäude" localSheetId="1">#REF!</definedName>
    <definedName name="AfA_Gebäude" localSheetId="2">#REF!</definedName>
    <definedName name="AfA_Gebäude" localSheetId="5">#REF!</definedName>
    <definedName name="AfA_Gebäude">#REF!</definedName>
    <definedName name="AfA_Inventar" localSheetId="7">#REF!</definedName>
    <definedName name="AfA_Inventar" localSheetId="2">#REF!</definedName>
    <definedName name="AfA_Inventar">#REF!</definedName>
    <definedName name="Anlage4_1" localSheetId="7">'[1]Anlage  4'!$E$10</definedName>
    <definedName name="Anlage4_1" localSheetId="6">'[1]Anlage  4'!$E$10</definedName>
    <definedName name="Anlage4_1" localSheetId="1">'[1]Anlage  4'!$E$10</definedName>
    <definedName name="Anlage4_1" localSheetId="2">'[2]Anlage  4'!$E$10</definedName>
    <definedName name="Anlage4_1" localSheetId="5">'[1]Anlage  4'!$E$10</definedName>
    <definedName name="Anlage4_1">'[3]Anlage  4'!$E$10</definedName>
    <definedName name="Anlage4_2" localSheetId="7">'[1]Anlage  4'!$E$18</definedName>
    <definedName name="Anlage4_2" localSheetId="6">'[1]Anlage  4'!$E$18</definedName>
    <definedName name="Anlage4_2" localSheetId="1">'[1]Anlage  4'!$E$18</definedName>
    <definedName name="Anlage4_2" localSheetId="2">'[2]Anlage  4'!$E$18</definedName>
    <definedName name="Anlage4_2" localSheetId="5">'[1]Anlage  4'!$E$18</definedName>
    <definedName name="Anlage4_2">'[3]Anlage  4'!$E$18</definedName>
    <definedName name="Anlage4_3" localSheetId="7">'[1]Anlage  4'!$E$29</definedName>
    <definedName name="Anlage4_3" localSheetId="6">'[1]Anlage  4'!$E$29</definedName>
    <definedName name="Anlage4_3" localSheetId="1">'[1]Anlage  4'!$E$29</definedName>
    <definedName name="Anlage4_3" localSheetId="2">'[2]Anlage  4'!$E$29</definedName>
    <definedName name="Anlage4_3" localSheetId="5">'[1]Anlage  4'!$E$29</definedName>
    <definedName name="Anlage4_3">'[3]Anlage  4'!$E$29</definedName>
    <definedName name="Anlage4_4" localSheetId="7">'[1]Anlage  4'!$E$40</definedName>
    <definedName name="Anlage4_4" localSheetId="6">'[1]Anlage  4'!$E$40</definedName>
    <definedName name="Anlage4_4" localSheetId="1">'[1]Anlage  4'!$E$40</definedName>
    <definedName name="Anlage4_4" localSheetId="2">'[2]Anlage  4'!$E$40</definedName>
    <definedName name="Anlage4_4" localSheetId="5">'[1]Anlage  4'!$E$40</definedName>
    <definedName name="Anlage4_4">'[3]Anlage  4'!$E$40</definedName>
    <definedName name="Auslastungsgrad" localSheetId="7">'[1]Anlage  1'!$G$15</definedName>
    <definedName name="Auslastungsgrad" localSheetId="6">'[1]Anlage  1'!$G$15</definedName>
    <definedName name="Auslastungsgrad" localSheetId="1">'[1]Anlage  1'!$G$15</definedName>
    <definedName name="Auslastungsgrad" localSheetId="2">'[2]Anlage  1'!$G$15</definedName>
    <definedName name="Auslastungsgrad" localSheetId="5">'[1]Anlage  1'!$G$15</definedName>
    <definedName name="Auslastungsgrad">'[3]Anlage  1'!$G$15</definedName>
    <definedName name="div">'Vereinbarung 2026'!#REF!</definedName>
    <definedName name="div_antr" localSheetId="2">'[4]Personal AWG'!$C$13</definedName>
    <definedName name="div_antr">'[5]Personal AWG'!$C$13</definedName>
    <definedName name="div_antr_ext" localSheetId="7">#REF!</definedName>
    <definedName name="div_antr_ext" localSheetId="2">#REF!</definedName>
    <definedName name="div_antr_ext">#REF!</definedName>
    <definedName name="div_vh">[6]Personal!$J$13</definedName>
    <definedName name="div_vh_extern" localSheetId="7">#REF!</definedName>
    <definedName name="div_vh_extern" localSheetId="2">#REF!</definedName>
    <definedName name="div_vh_extern">#REF!</definedName>
    <definedName name="Divisor" localSheetId="7">#REF!</definedName>
    <definedName name="Divisor" localSheetId="2">#REF!</definedName>
    <definedName name="Divisor">#REF!</definedName>
    <definedName name="_xlnm.Print_Area" localSheetId="6">Nebenkosten!$A$1:$H$33</definedName>
    <definedName name="_xlnm.Print_Area" localSheetId="1">Stammblatt!$A$1:$L$73</definedName>
    <definedName name="_xlnm.Print_Area" localSheetId="2">'Vereinbarung 2026'!$A$1:$S$64</definedName>
    <definedName name="_xlnm.Print_Area" localSheetId="5">Wohnraumüberlassungskosten!$A$1:$E$38</definedName>
    <definedName name="Einrichtung" localSheetId="7">#REF!</definedName>
    <definedName name="Einrichtung" localSheetId="6">#REF!</definedName>
    <definedName name="Einrichtung" localSheetId="1">#REF!</definedName>
    <definedName name="Einrichtung" localSheetId="2">#REF!</definedName>
    <definedName name="Einrichtung" localSheetId="5">#REF!</definedName>
    <definedName name="Einrichtung">#REF!</definedName>
    <definedName name="Einrichtung2" localSheetId="7">#REF!</definedName>
    <definedName name="Einrichtung2" localSheetId="6">#REF!</definedName>
    <definedName name="Einrichtung2" localSheetId="1">#REF!</definedName>
    <definedName name="Einrichtung2" localSheetId="2">#REF!</definedName>
    <definedName name="Einrichtung2" localSheetId="5">#REF!</definedName>
    <definedName name="Einrichtung2">#REF!</definedName>
    <definedName name="Gesverg" localSheetId="7">'[1]Anlage  2'!$H$52</definedName>
    <definedName name="Gesverg" localSheetId="6">'[1]Anlage  2'!$H$52</definedName>
    <definedName name="Gesverg" localSheetId="1">'[1]Anlage  2'!$H$52</definedName>
    <definedName name="Gesverg" localSheetId="2">'[2]Anlage  2'!$H$52</definedName>
    <definedName name="Gesverg" localSheetId="5">'[1]Anlage  2'!$H$52</definedName>
    <definedName name="Gesverg">'[3]Anlage  2'!$H$52</definedName>
    <definedName name="Grundp" localSheetId="7">'[1]Anlage  2'!$H$42</definedName>
    <definedName name="Grundp" localSheetId="6">'[1]Anlage  2'!$H$42</definedName>
    <definedName name="Grundp" localSheetId="1">'[1]Anlage  2'!$H$42</definedName>
    <definedName name="Grundp" localSheetId="2">'[2]Anlage  2'!$H$42</definedName>
    <definedName name="Grundp" localSheetId="5">'[1]Anlage  2'!$H$42</definedName>
    <definedName name="Grundp">'[3]Anlage  2'!$H$42</definedName>
    <definedName name="IH_IS" localSheetId="7">#REF!</definedName>
    <definedName name="IH_IS" localSheetId="6">#REF!</definedName>
    <definedName name="IH_IS" localSheetId="1">#REF!</definedName>
    <definedName name="IH_IS" localSheetId="2">#REF!</definedName>
    <definedName name="IH_IS" localSheetId="5">#REF!</definedName>
    <definedName name="IH_IS">#REF!</definedName>
    <definedName name="Invest" localSheetId="7">'[1]Anlage  2'!$D$52</definedName>
    <definedName name="Invest" localSheetId="6">'[1]Anlage  2'!$D$52</definedName>
    <definedName name="Invest" localSheetId="1">'[1]Anlage  2'!$D$52</definedName>
    <definedName name="Invest" localSheetId="2">'[2]Anlage  2'!$D$52</definedName>
    <definedName name="Invest" localSheetId="5">'[1]Anlage  2'!$D$52</definedName>
    <definedName name="Invest">'[3]Anlage  2'!$D$52</definedName>
    <definedName name="Leasing" localSheetId="7">#REF!</definedName>
    <definedName name="Leasing" localSheetId="6">#REF!</definedName>
    <definedName name="Leasing" localSheetId="1">#REF!</definedName>
    <definedName name="Leasing" localSheetId="2">#REF!</definedName>
    <definedName name="Leasing" localSheetId="5">#REF!</definedName>
    <definedName name="Leasing">#REF!</definedName>
    <definedName name="Leistungstyp" localSheetId="7">#REF!</definedName>
    <definedName name="Leistungstyp" localSheetId="6">#REF!</definedName>
    <definedName name="Leistungstyp" localSheetId="1">#REF!</definedName>
    <definedName name="Leistungstyp" localSheetId="2">#REF!</definedName>
    <definedName name="Leistungstyp" localSheetId="5">#REF!</definedName>
    <definedName name="Leistungstyp">#REF!</definedName>
    <definedName name="Leistungstyp2" localSheetId="7">#REF!</definedName>
    <definedName name="Leistungstyp2" localSheetId="6">#REF!</definedName>
    <definedName name="Leistungstyp2" localSheetId="1">#REF!</definedName>
    <definedName name="Leistungstyp2" localSheetId="2">#REF!</definedName>
    <definedName name="Leistungstyp2" localSheetId="5">#REF!</definedName>
    <definedName name="Leistungstyp2">#REF!</definedName>
    <definedName name="Maßnp" localSheetId="7">'[1]Anlage  2'!$F$42</definedName>
    <definedName name="Maßnp" localSheetId="6">'[1]Anlage  2'!$F$42</definedName>
    <definedName name="Maßnp" localSheetId="1">'[1]Anlage  2'!$F$42</definedName>
    <definedName name="Maßnp" localSheetId="2">'[2]Anlage  2'!$F$42</definedName>
    <definedName name="Maßnp" localSheetId="5">'[1]Anlage  2'!$F$42</definedName>
    <definedName name="Maßnp">'[3]Anlage  2'!$F$42</definedName>
    <definedName name="Mieten" localSheetId="7">#REF!</definedName>
    <definedName name="Mieten" localSheetId="6">#REF!</definedName>
    <definedName name="Mieten" localSheetId="1">#REF!</definedName>
    <definedName name="Mieten" localSheetId="2">#REF!</definedName>
    <definedName name="Mieten" localSheetId="5">#REF!</definedName>
    <definedName name="Mieten">#REF!</definedName>
    <definedName name="Pacht" localSheetId="7">#REF!</definedName>
    <definedName name="Pacht" localSheetId="2">#REF!</definedName>
    <definedName name="Pacht">#REF!</definedName>
    <definedName name="Pers1" localSheetId="7">'[7]Anlage  3'!$I$10</definedName>
    <definedName name="Pers1" localSheetId="6">'[7]Anlage  3'!$I$10</definedName>
    <definedName name="Pers1" localSheetId="1">'[8]Anlage  3'!$I$10</definedName>
    <definedName name="Pers1" localSheetId="5">'[7]Anlage  3'!$I$10</definedName>
    <definedName name="Pers1">'[9]Anlage  3'!$I$10</definedName>
    <definedName name="Pers2" localSheetId="7">'[7]Anlage  3'!$I$12</definedName>
    <definedName name="Pers2" localSheetId="6">'[7]Anlage  3'!$I$12</definedName>
    <definedName name="Pers2" localSheetId="1">'[8]Anlage  3'!$I$12</definedName>
    <definedName name="Pers2" localSheetId="5">'[7]Anlage  3'!$I$12</definedName>
    <definedName name="Pers2">'[9]Anlage  3'!$I$12</definedName>
    <definedName name="Pers3" localSheetId="7">'[7]Anlage  3'!$I$14</definedName>
    <definedName name="Pers3" localSheetId="6">'[7]Anlage  3'!$I$14</definedName>
    <definedName name="Pers3" localSheetId="1">'[8]Anlage  3'!$I$14</definedName>
    <definedName name="Pers3" localSheetId="5">'[7]Anlage  3'!$I$14</definedName>
    <definedName name="Pers3">'[9]Anlage  3'!$I$14</definedName>
    <definedName name="Pers4" localSheetId="7">'[7]Anlage  3'!$I$16</definedName>
    <definedName name="Pers4" localSheetId="6">'[7]Anlage  3'!$I$16</definedName>
    <definedName name="Pers4" localSheetId="1">'[8]Anlage  3'!$I$16</definedName>
    <definedName name="Pers4" localSheetId="5">'[7]Anlage  3'!$I$16</definedName>
    <definedName name="Pers4">'[9]Anlage  3'!$I$16</definedName>
    <definedName name="Pers5" localSheetId="7">'[7]Anlage  3'!$I$18</definedName>
    <definedName name="Pers5" localSheetId="6">'[7]Anlage  3'!$I$18</definedName>
    <definedName name="Pers5" localSheetId="1">'[8]Anlage  3'!$I$18</definedName>
    <definedName name="Pers5" localSheetId="5">'[7]Anlage  3'!$I$18</definedName>
    <definedName name="Pers5">'[9]Anlage  3'!$I$18</definedName>
    <definedName name="PersAufw1" localSheetId="7">'[1]Anlage  4'!$D$10</definedName>
    <definedName name="PersAufw1" localSheetId="6">'[1]Anlage  4'!$D$10</definedName>
    <definedName name="PersAufw1" localSheetId="1">'[1]Anlage  4'!$D$10</definedName>
    <definedName name="PersAufw1" localSheetId="2">'[2]Anlage  4'!$D$10</definedName>
    <definedName name="PersAufw1" localSheetId="5">'[1]Anlage  4'!$D$10</definedName>
    <definedName name="PersAufw1">'[3]Anlage  4'!$D$10</definedName>
    <definedName name="PersAufw2" localSheetId="7">'[1]Anlage  4'!$D$18</definedName>
    <definedName name="PersAufw2" localSheetId="6">'[1]Anlage  4'!$D$18</definedName>
    <definedName name="PersAufw2" localSheetId="1">'[1]Anlage  4'!$D$18</definedName>
    <definedName name="PersAufw2" localSheetId="2">'[2]Anlage  4'!$D$18</definedName>
    <definedName name="PersAufw2" localSheetId="5">'[1]Anlage  4'!$D$18</definedName>
    <definedName name="PersAufw2">'[3]Anlage  4'!$D$18</definedName>
    <definedName name="PersAufw3" localSheetId="7">'[1]Anlage  4'!$D$29</definedName>
    <definedName name="PersAufw3" localSheetId="6">'[1]Anlage  4'!$D$29</definedName>
    <definedName name="PersAufw3" localSheetId="1">'[1]Anlage  4'!$D$29</definedName>
    <definedName name="PersAufw3" localSheetId="2">'[2]Anlage  4'!$D$29</definedName>
    <definedName name="PersAufw3" localSheetId="5">'[1]Anlage  4'!$D$29</definedName>
    <definedName name="PersAufw3">'[3]Anlage  4'!$D$29</definedName>
    <definedName name="PersAufw4" localSheetId="7">'[1]Anlage  4'!$D$40</definedName>
    <definedName name="PersAufw4" localSheetId="6">'[1]Anlage  4'!$D$40</definedName>
    <definedName name="PersAufw4" localSheetId="1">'[1]Anlage  4'!$D$40</definedName>
    <definedName name="PersAufw4" localSheetId="2">'[2]Anlage  4'!$D$40</definedName>
    <definedName name="PersAufw4" localSheetId="5">'[1]Anlage  4'!$D$40</definedName>
    <definedName name="PersAufw4">'[3]Anlage  4'!$D$40</definedName>
    <definedName name="PersAufw5" localSheetId="7">'[1]Anlage  4'!$D$48</definedName>
    <definedName name="PersAufw5" localSheetId="6">'[1]Anlage  4'!$D$48</definedName>
    <definedName name="PersAufw5" localSheetId="1">'[1]Anlage  4'!$D$48</definedName>
    <definedName name="PersAufw5" localSheetId="2">'[2]Anlage  4'!$D$48</definedName>
    <definedName name="PersAufw5" localSheetId="5">'[1]Anlage  4'!$D$48</definedName>
    <definedName name="PersAufw5">'[3]Anlage  4'!$D$48</definedName>
    <definedName name="Persges" localSheetId="7">'[1]Anlage  4'!$D$56</definedName>
    <definedName name="Persges" localSheetId="6">'[1]Anlage  4'!$D$56</definedName>
    <definedName name="Persges" localSheetId="1">'[1]Anlage  4'!$D$56</definedName>
    <definedName name="Persges" localSheetId="2">'[2]Anlage  4'!$D$56</definedName>
    <definedName name="Persges" localSheetId="5">'[1]Anlage  4'!$D$56</definedName>
    <definedName name="Persges">'[3]Anlage  4'!$D$56</definedName>
    <definedName name="Personal_11" localSheetId="7">'[1]Anlage  1'!$H$21</definedName>
    <definedName name="Personal_11" localSheetId="6">'[1]Anlage  1'!$H$21</definedName>
    <definedName name="Personal_11" localSheetId="1">'[1]Anlage  1'!$H$21</definedName>
    <definedName name="Personal_11" localSheetId="2">'[2]Anlage  1'!$H$21</definedName>
    <definedName name="Personal_11" localSheetId="5">'[1]Anlage  1'!$H$21</definedName>
    <definedName name="Personal_11">'[3]Anlage  1'!$H$21</definedName>
    <definedName name="Personal_12" localSheetId="7">'[1]Anlage  1'!$H$22</definedName>
    <definedName name="Personal_12" localSheetId="6">'[1]Anlage  1'!$H$22</definedName>
    <definedName name="Personal_12" localSheetId="1">'[1]Anlage  1'!$H$22</definedName>
    <definedName name="Personal_12" localSheetId="2">'[2]Anlage  1'!$H$22</definedName>
    <definedName name="Personal_12" localSheetId="5">'[1]Anlage  1'!$H$22</definedName>
    <definedName name="Personal_12">'[3]Anlage  1'!$H$22</definedName>
    <definedName name="Personal_13" localSheetId="7">'[1]Anlage  1'!$H$23</definedName>
    <definedName name="Personal_13" localSheetId="6">'[1]Anlage  1'!$H$23</definedName>
    <definedName name="Personal_13" localSheetId="1">'[1]Anlage  1'!$H$23</definedName>
    <definedName name="Personal_13" localSheetId="2">'[2]Anlage  1'!$H$23</definedName>
    <definedName name="Personal_13" localSheetId="5">'[1]Anlage  1'!$H$23</definedName>
    <definedName name="Personal_13">'[3]Anlage  1'!$H$23</definedName>
    <definedName name="Personal_14" localSheetId="7">'[1]Anlage  1'!$H$24</definedName>
    <definedName name="Personal_14" localSheetId="6">'[1]Anlage  1'!$H$24</definedName>
    <definedName name="Personal_14" localSheetId="1">'[1]Anlage  1'!$H$24</definedName>
    <definedName name="Personal_14" localSheetId="2">'[2]Anlage  1'!$H$24</definedName>
    <definedName name="Personal_14" localSheetId="5">'[1]Anlage  1'!$H$24</definedName>
    <definedName name="Personal_14">'[3]Anlage  1'!$H$24</definedName>
    <definedName name="Personal_15" localSheetId="7">'[1]Anlage  1'!$H$25</definedName>
    <definedName name="Personal_15" localSheetId="6">'[1]Anlage  1'!$H$25</definedName>
    <definedName name="Personal_15" localSheetId="1">'[1]Anlage  1'!$H$25</definedName>
    <definedName name="Personal_15" localSheetId="2">'[2]Anlage  1'!$H$25</definedName>
    <definedName name="Personal_15" localSheetId="5">'[1]Anlage  1'!$H$25</definedName>
    <definedName name="Personal_15">'[3]Anlage  1'!$H$25</definedName>
    <definedName name="Plätze" localSheetId="7">#REF!</definedName>
    <definedName name="Plätze" localSheetId="2">#REF!</definedName>
    <definedName name="Plätze">#REF!</definedName>
    <definedName name="Platzzahl" localSheetId="7">'[1]Anlage  1'!$G$14</definedName>
    <definedName name="Platzzahl" localSheetId="6">'[1]Anlage  1'!$G$14</definedName>
    <definedName name="Platzzahl" localSheetId="1">'[1]Anlage  1'!$G$14</definedName>
    <definedName name="Platzzahl" localSheetId="2">'[2]Anlage  1'!$G$14</definedName>
    <definedName name="Platzzahl" localSheetId="5">'[1]Anlage  1'!$G$14</definedName>
    <definedName name="Platzzahl">'[3]Anlage  1'!$G$14</definedName>
    <definedName name="pnk" localSheetId="7">'[1]Anlage  3'!$G$33</definedName>
    <definedName name="pnk" localSheetId="6">'[1]Anlage  3'!$G$33</definedName>
    <definedName name="pnk" localSheetId="1">'[1]Anlage  3'!$G$33</definedName>
    <definedName name="pnk" localSheetId="2">'[2]Anlage  3'!$G$33</definedName>
    <definedName name="pnk" localSheetId="5">'[1]Anlage  3'!$G$33</definedName>
    <definedName name="pnk">'[3]Anlage  3'!$G$33</definedName>
    <definedName name="Sach_1" localSheetId="7">'[1]Anlage  1'!$H$29</definedName>
    <definedName name="Sach_1" localSheetId="6">'[1]Anlage  1'!$H$29</definedName>
    <definedName name="Sach_1" localSheetId="1">'[1]Anlage  1'!$H$29</definedName>
    <definedName name="Sach_1" localSheetId="2">'[2]Anlage  1'!$H$29</definedName>
    <definedName name="Sach_1" localSheetId="5">'[1]Anlage  1'!$H$29</definedName>
    <definedName name="Sach_1">'[3]Anlage  1'!$H$29</definedName>
    <definedName name="Sach_10" localSheetId="7">'[1]Anlage  1'!$H$38</definedName>
    <definedName name="Sach_10" localSheetId="6">'[1]Anlage  1'!$H$38</definedName>
    <definedName name="Sach_10" localSheetId="1">'[1]Anlage  1'!$H$38</definedName>
    <definedName name="Sach_10" localSheetId="2">'[2]Anlage  1'!$H$38</definedName>
    <definedName name="Sach_10" localSheetId="5">'[1]Anlage  1'!$H$38</definedName>
    <definedName name="Sach_10">'[3]Anlage  1'!$H$38</definedName>
    <definedName name="Sach_11" localSheetId="7">'[1]Anlage  1'!$H$39</definedName>
    <definedName name="Sach_11" localSheetId="6">'[1]Anlage  1'!$H$39</definedName>
    <definedName name="Sach_11" localSheetId="1">'[1]Anlage  1'!$H$39</definedName>
    <definedName name="Sach_11" localSheetId="2">'[2]Anlage  1'!$H$39</definedName>
    <definedName name="Sach_11" localSheetId="5">'[1]Anlage  1'!$H$39</definedName>
    <definedName name="Sach_11">'[3]Anlage  1'!$H$39</definedName>
    <definedName name="Sach_12" localSheetId="7">'[1]Anlage  1'!$H$40</definedName>
    <definedName name="Sach_12" localSheetId="6">'[1]Anlage  1'!$H$40</definedName>
    <definedName name="Sach_12" localSheetId="1">'[1]Anlage  1'!$H$40</definedName>
    <definedName name="Sach_12" localSheetId="2">'[2]Anlage  1'!$H$40</definedName>
    <definedName name="Sach_12" localSheetId="5">'[1]Anlage  1'!$H$40</definedName>
    <definedName name="Sach_12">'[3]Anlage  1'!$H$40</definedName>
    <definedName name="Sach_13" localSheetId="7">'[1]Anlage  1'!$H$41</definedName>
    <definedName name="Sach_13" localSheetId="6">'[1]Anlage  1'!$H$41</definedName>
    <definedName name="Sach_13" localSheetId="1">'[1]Anlage  1'!$H$41</definedName>
    <definedName name="Sach_13" localSheetId="2">'[2]Anlage  1'!$H$41</definedName>
    <definedName name="Sach_13" localSheetId="5">'[1]Anlage  1'!$H$41</definedName>
    <definedName name="Sach_13">'[3]Anlage  1'!$H$41</definedName>
    <definedName name="Sach_14" localSheetId="7">'[1]Anlage  1'!$H$42</definedName>
    <definedName name="Sach_14" localSheetId="6">'[1]Anlage  1'!$H$42</definedName>
    <definedName name="Sach_14" localSheetId="1">'[1]Anlage  1'!$H$42</definedName>
    <definedName name="Sach_14" localSheetId="2">'[2]Anlage  1'!$H$42</definedName>
    <definedName name="Sach_14" localSheetId="5">'[1]Anlage  1'!$H$42</definedName>
    <definedName name="Sach_14">'[3]Anlage  1'!$H$42</definedName>
    <definedName name="Sach_2" localSheetId="7">'[1]Anlage  1'!$H$30</definedName>
    <definedName name="Sach_2" localSheetId="6">'[1]Anlage  1'!$H$30</definedName>
    <definedName name="Sach_2" localSheetId="1">'[1]Anlage  1'!$H$30</definedName>
    <definedName name="Sach_2" localSheetId="2">'[2]Anlage  1'!$H$30</definedName>
    <definedName name="Sach_2" localSheetId="5">'[1]Anlage  1'!$H$30</definedName>
    <definedName name="Sach_2">'[3]Anlage  1'!$H$30</definedName>
    <definedName name="Sach_3" localSheetId="7">'[1]Anlage  1'!$H$31</definedName>
    <definedName name="Sach_3" localSheetId="6">'[1]Anlage  1'!$H$31</definedName>
    <definedName name="Sach_3" localSheetId="1">'[1]Anlage  1'!$H$31</definedName>
    <definedName name="Sach_3" localSheetId="2">'[2]Anlage  1'!$H$31</definedName>
    <definedName name="Sach_3" localSheetId="5">'[1]Anlage  1'!$H$31</definedName>
    <definedName name="Sach_3">'[3]Anlage  1'!$H$31</definedName>
    <definedName name="Sach_4" localSheetId="7">'[1]Anlage  1'!$H$32</definedName>
    <definedName name="Sach_4" localSheetId="6">'[1]Anlage  1'!$H$32</definedName>
    <definedName name="Sach_4" localSheetId="1">'[1]Anlage  1'!$H$32</definedName>
    <definedName name="Sach_4" localSheetId="2">'[2]Anlage  1'!$H$32</definedName>
    <definedName name="Sach_4" localSheetId="5">'[1]Anlage  1'!$H$32</definedName>
    <definedName name="Sach_4">'[3]Anlage  1'!$H$32</definedName>
    <definedName name="Sach_5" localSheetId="7">'[1]Anlage  1'!$H$33</definedName>
    <definedName name="Sach_5" localSheetId="6">'[1]Anlage  1'!$H$33</definedName>
    <definedName name="Sach_5" localSheetId="1">'[1]Anlage  1'!$H$33</definedName>
    <definedName name="Sach_5" localSheetId="2">'[2]Anlage  1'!$H$33</definedName>
    <definedName name="Sach_5" localSheetId="5">'[1]Anlage  1'!$H$33</definedName>
    <definedName name="Sach_5">'[3]Anlage  1'!$H$33</definedName>
    <definedName name="Sach_6" localSheetId="7">'[1]Anlage  1'!$H$34</definedName>
    <definedName name="Sach_6" localSheetId="6">'[1]Anlage  1'!$H$34</definedName>
    <definedName name="Sach_6" localSheetId="1">'[1]Anlage  1'!$H$34</definedName>
    <definedName name="Sach_6" localSheetId="2">'[2]Anlage  1'!$H$34</definedName>
    <definedName name="Sach_6" localSheetId="5">'[1]Anlage  1'!$H$34</definedName>
    <definedName name="Sach_6">'[3]Anlage  1'!$H$34</definedName>
    <definedName name="Sach_7" localSheetId="7">'[1]Anlage  1'!$H$35</definedName>
    <definedName name="Sach_7" localSheetId="6">'[1]Anlage  1'!$H$35</definedName>
    <definedName name="Sach_7" localSheetId="1">'[1]Anlage  1'!$H$35</definedName>
    <definedName name="Sach_7" localSheetId="2">'[2]Anlage  1'!$H$35</definedName>
    <definedName name="Sach_7" localSheetId="5">'[1]Anlage  1'!$H$35</definedName>
    <definedName name="Sach_7">'[3]Anlage  1'!$H$35</definedName>
    <definedName name="Sach_8" localSheetId="7">'[1]Anlage  1'!$H$36</definedName>
    <definedName name="Sach_8" localSheetId="6">'[1]Anlage  1'!$H$36</definedName>
    <definedName name="Sach_8" localSheetId="1">'[1]Anlage  1'!$H$36</definedName>
    <definedName name="Sach_8" localSheetId="2">'[2]Anlage  1'!$H$36</definedName>
    <definedName name="Sach_8" localSheetId="5">'[1]Anlage  1'!$H$36</definedName>
    <definedName name="Sach_8">'[3]Anlage  1'!$H$36</definedName>
    <definedName name="Sach_9" localSheetId="7">'[1]Anlage  1'!$H$37</definedName>
    <definedName name="Sach_9" localSheetId="6">'[1]Anlage  1'!$H$37</definedName>
    <definedName name="Sach_9" localSheetId="1">'[1]Anlage  1'!$H$37</definedName>
    <definedName name="Sach_9" localSheetId="2">'[2]Anlage  1'!$H$37</definedName>
    <definedName name="Sach_9" localSheetId="5">'[1]Anlage  1'!$H$37</definedName>
    <definedName name="Sach_9">'[3]Anlage  1'!$H$37</definedName>
    <definedName name="Zinsen" localSheetId="7">#REF!</definedName>
    <definedName name="Zinsen" localSheetId="2">#REF!</definedName>
    <definedName name="Zinsen">#REF!</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3" i="12" l="1"/>
  <c r="W22" i="12"/>
  <c r="W21" i="12"/>
  <c r="W20" i="12"/>
  <c r="E25" i="13"/>
  <c r="D52" i="4"/>
  <c r="D46" i="4"/>
  <c r="B3" i="5"/>
  <c r="K3" i="13" s="1"/>
  <c r="J3" i="13" l="1"/>
  <c r="B3" i="13"/>
  <c r="A44" i="13"/>
  <c r="A39" i="13"/>
  <c r="A38" i="13"/>
  <c r="A36" i="13"/>
  <c r="V49" i="12"/>
  <c r="D2" i="6" l="1"/>
  <c r="L3" i="13"/>
  <c r="M18" i="13"/>
  <c r="M19" i="13"/>
  <c r="J20" i="12"/>
  <c r="J18" i="12"/>
  <c r="A5" i="13"/>
  <c r="J5" i="13" s="1"/>
  <c r="N16" i="12"/>
  <c r="F20" i="6" l="1"/>
  <c r="H28" i="8" l="1"/>
  <c r="B5" i="13" s="1"/>
  <c r="H32" i="8" l="1"/>
  <c r="B10" i="12"/>
  <c r="B20" i="13" l="1"/>
  <c r="K5" i="13"/>
  <c r="K20" i="13" s="1"/>
  <c r="B4" i="12"/>
  <c r="F25" i="6" l="1"/>
  <c r="G1" i="6"/>
  <c r="C4" i="5"/>
  <c r="B12" i="12"/>
  <c r="B9" i="12"/>
  <c r="B7" i="12"/>
  <c r="B6" i="12"/>
  <c r="P40" i="12"/>
  <c r="N40" i="12"/>
  <c r="P39" i="12"/>
  <c r="F24" i="6" s="1"/>
  <c r="N39" i="12"/>
  <c r="M26" i="12"/>
  <c r="M22" i="12"/>
  <c r="M21" i="12"/>
  <c r="M20" i="12"/>
  <c r="M18" i="12"/>
  <c r="K11" i="12"/>
  <c r="Q19" i="12" l="1"/>
  <c r="K53" i="12"/>
  <c r="K54" i="12"/>
  <c r="K50" i="12"/>
  <c r="K29" i="12"/>
  <c r="K55" i="12"/>
  <c r="K48" i="12"/>
  <c r="K47" i="12"/>
  <c r="K49" i="12"/>
  <c r="K30" i="12"/>
  <c r="K51" i="12"/>
  <c r="K52" i="12"/>
  <c r="K18" i="12"/>
  <c r="J21" i="12"/>
  <c r="K21" i="12" s="1"/>
  <c r="O21" i="12" s="1"/>
  <c r="J22" i="12" l="1"/>
  <c r="K22" i="12" s="1"/>
  <c r="O22" i="12" s="1"/>
  <c r="K35" i="12"/>
  <c r="E18" i="6" s="1"/>
  <c r="K38" i="12"/>
  <c r="O38" i="12" s="1"/>
  <c r="S38" i="12" s="1"/>
  <c r="D13" i="7" s="1"/>
  <c r="J26" i="12" l="1"/>
  <c r="K26" i="12" s="1"/>
  <c r="O26" i="12" s="1"/>
  <c r="K20" i="12"/>
  <c r="O20" i="12" s="1"/>
  <c r="J19" i="12"/>
  <c r="K19" i="12" s="1"/>
  <c r="S29" i="12"/>
  <c r="K41" i="12"/>
  <c r="K40" i="12"/>
  <c r="K39" i="12"/>
  <c r="K37" i="12"/>
  <c r="O37" i="12" s="1"/>
  <c r="S37" i="12" s="1"/>
  <c r="D12" i="7" s="1"/>
  <c r="K36" i="12"/>
  <c r="O36" i="12" s="1"/>
  <c r="K34" i="12"/>
  <c r="K33" i="12"/>
  <c r="K32" i="12"/>
  <c r="K31" i="12"/>
  <c r="O18" i="12"/>
  <c r="Q18" i="12" s="1"/>
  <c r="B17" i="5" s="1"/>
  <c r="U18" i="12" s="1"/>
  <c r="W18" i="12" s="1"/>
  <c r="K23" i="12"/>
  <c r="E20" i="6" s="1"/>
  <c r="K44" i="12"/>
  <c r="J24" i="12" l="1"/>
  <c r="O19" i="12"/>
  <c r="N19" i="12" s="1"/>
  <c r="M19" i="12" s="1"/>
  <c r="P19" i="12"/>
  <c r="B21" i="5"/>
  <c r="U19" i="12" s="1"/>
  <c r="E21" i="6"/>
  <c r="J42" i="12"/>
  <c r="K42" i="12"/>
  <c r="E4" i="6"/>
  <c r="Q40" i="12"/>
  <c r="B18" i="5" s="1"/>
  <c r="E24" i="6"/>
  <c r="Q39" i="12"/>
  <c r="O39" i="12" s="1"/>
  <c r="E25" i="6"/>
  <c r="S34" i="12"/>
  <c r="D14" i="7" s="1"/>
  <c r="Q34" i="12"/>
  <c r="S33" i="12"/>
  <c r="D11" i="7" s="1"/>
  <c r="E10" i="6"/>
  <c r="E17" i="6"/>
  <c r="E16" i="6"/>
  <c r="D9" i="7"/>
  <c r="E9" i="7" s="1"/>
  <c r="K64" i="12"/>
  <c r="O44" i="12"/>
  <c r="O64" i="12" s="1"/>
  <c r="K24" i="12"/>
  <c r="O23" i="12"/>
  <c r="B3" i="8" l="1"/>
  <c r="O40" i="12"/>
  <c r="S42" i="12"/>
  <c r="S58" i="12" s="1"/>
  <c r="B12" i="8" s="1"/>
  <c r="O34" i="12"/>
  <c r="O33" i="12"/>
  <c r="B19" i="5"/>
  <c r="U54" i="12" s="1"/>
  <c r="W54" i="12" s="1"/>
  <c r="B13" i="5"/>
  <c r="B7" i="5"/>
  <c r="E12" i="6"/>
  <c r="E26" i="6" s="1"/>
  <c r="B20" i="5"/>
  <c r="U55" i="12" s="1"/>
  <c r="W55" i="12" s="1"/>
  <c r="B4" i="8"/>
  <c r="B10" i="5"/>
  <c r="Q23" i="12"/>
  <c r="Q24" i="12" s="1"/>
  <c r="O24" i="12"/>
  <c r="B8" i="5" l="1"/>
  <c r="B11" i="5"/>
  <c r="Q55" i="12"/>
  <c r="B9" i="5"/>
  <c r="J56" i="12"/>
  <c r="J58" i="12" s="1"/>
  <c r="B7" i="8" s="1"/>
  <c r="B12" i="5"/>
  <c r="K56" i="12"/>
  <c r="K58" i="12" s="1"/>
  <c r="B14" i="5" l="1"/>
  <c r="B5" i="8"/>
  <c r="D37" i="4" l="1"/>
  <c r="D34" i="4" s="1"/>
  <c r="H2" i="6" l="1"/>
  <c r="H25" i="6" s="1"/>
  <c r="V34" i="12" s="1"/>
  <c r="W34" i="12" s="1"/>
  <c r="H24" i="6" l="1"/>
  <c r="V39" i="12" s="1"/>
  <c r="W39" i="12" s="1"/>
  <c r="I14" i="8" l="1"/>
  <c r="I13" i="8"/>
  <c r="B9" i="7"/>
  <c r="E53" i="4" l="1"/>
  <c r="F53" i="4" s="1"/>
  <c r="E52" i="4"/>
  <c r="F52" i="4" l="1"/>
  <c r="B22" i="8" l="1"/>
  <c r="D47" i="4"/>
  <c r="D48" i="4"/>
  <c r="F43" i="4"/>
  <c r="E43" i="4"/>
  <c r="F42" i="4"/>
  <c r="F44" i="4" s="1"/>
  <c r="F47" i="4" s="1"/>
  <c r="E42" i="4"/>
  <c r="E44" i="4" l="1"/>
  <c r="E47" i="4" s="1"/>
  <c r="A49" i="4" l="1"/>
  <c r="D49" i="4"/>
  <c r="S9" i="12" s="1"/>
  <c r="F46" i="4"/>
  <c r="E46" i="4"/>
  <c r="F16" i="6" l="1"/>
  <c r="S10" i="12"/>
  <c r="P52" i="12"/>
  <c r="Q52" i="12" s="1"/>
  <c r="O52" i="12" s="1"/>
  <c r="P31" i="12"/>
  <c r="Q31" i="12" s="1"/>
  <c r="O31" i="12" s="1"/>
  <c r="P54" i="12"/>
  <c r="Q54" i="12" s="1"/>
  <c r="O54" i="12" s="1"/>
  <c r="P41" i="12"/>
  <c r="Q41" i="12" s="1"/>
  <c r="F12" i="6"/>
  <c r="P53" i="12"/>
  <c r="Q53" i="12" s="1"/>
  <c r="O53" i="12" s="1"/>
  <c r="F18" i="6"/>
  <c r="P32" i="12"/>
  <c r="Q32" i="12" s="1"/>
  <c r="O32" i="12" s="1"/>
  <c r="P30" i="12"/>
  <c r="Q30" i="12" s="1"/>
  <c r="O30" i="12" s="1"/>
  <c r="F17" i="6"/>
  <c r="P48" i="12"/>
  <c r="Q48" i="12" s="1"/>
  <c r="O48" i="12" s="1"/>
  <c r="C28" i="5"/>
  <c r="P50" i="12"/>
  <c r="Q50" i="12" s="1"/>
  <c r="O50" i="12" s="1"/>
  <c r="P51" i="12"/>
  <c r="Q51" i="12" s="1"/>
  <c r="O51" i="12" s="1"/>
  <c r="P35" i="12"/>
  <c r="P49" i="12"/>
  <c r="Q49" i="12" s="1"/>
  <c r="O49" i="12" s="1"/>
  <c r="F10" i="6"/>
  <c r="F4" i="6"/>
  <c r="H4" i="6" s="1"/>
  <c r="V41" i="12" s="1"/>
  <c r="W41" i="12" s="1"/>
  <c r="P47" i="12"/>
  <c r="Q47" i="12" s="1"/>
  <c r="E50" i="4"/>
  <c r="E49" i="4"/>
  <c r="C34" i="4"/>
  <c r="Q56" i="12" l="1"/>
  <c r="O47" i="12"/>
  <c r="O56" i="12" s="1"/>
  <c r="O41" i="12"/>
  <c r="N41" i="12"/>
  <c r="N52" i="12"/>
  <c r="N32" i="12"/>
  <c r="N54" i="12"/>
  <c r="N35" i="12"/>
  <c r="O35" i="12" s="1"/>
  <c r="Q35" i="12" s="1"/>
  <c r="Q42" i="12" s="1"/>
  <c r="N53" i="12"/>
  <c r="N48" i="12"/>
  <c r="N31" i="12"/>
  <c r="N30" i="12"/>
  <c r="N47" i="12"/>
  <c r="N50" i="12"/>
  <c r="N51" i="12"/>
  <c r="N49" i="12"/>
  <c r="C29" i="5"/>
  <c r="A44" i="4"/>
  <c r="A47" i="4" s="1"/>
  <c r="B36" i="4"/>
  <c r="H49" i="4"/>
  <c r="I49" i="4" s="1"/>
  <c r="B28" i="5"/>
  <c r="E31" i="6" s="1"/>
  <c r="F66" i="4"/>
  <c r="D50" i="4"/>
  <c r="E54" i="4"/>
  <c r="F54" i="4"/>
  <c r="C28" i="6"/>
  <c r="C27" i="6"/>
  <c r="Q58" i="12" l="1"/>
  <c r="Q62" i="12" s="1"/>
  <c r="O42" i="12"/>
  <c r="O58" i="12" s="1"/>
  <c r="E58" i="4"/>
  <c r="F58" i="4"/>
  <c r="H46" i="4" s="1"/>
  <c r="I46" i="4" s="1"/>
  <c r="E56" i="4"/>
  <c r="E57" i="4" s="1"/>
  <c r="F56" i="4"/>
  <c r="F57" i="4" s="1"/>
  <c r="D56" i="4"/>
  <c r="B24" i="8"/>
  <c r="H42" i="4"/>
  <c r="I42" i="4" s="1"/>
  <c r="H44" i="4"/>
  <c r="I44" i="4" s="1"/>
  <c r="H50" i="4"/>
  <c r="I50" i="4" s="1"/>
  <c r="D54" i="4"/>
  <c r="D58" i="4" s="1"/>
  <c r="D41" i="4"/>
  <c r="O62" i="12" l="1"/>
  <c r="F6" i="13"/>
  <c r="F18" i="13" s="1"/>
  <c r="B11" i="8"/>
  <c r="D57" i="4"/>
  <c r="B23" i="8"/>
  <c r="G43" i="4"/>
  <c r="B29" i="5" s="1"/>
  <c r="H47" i="4"/>
  <c r="I47" i="4" s="1"/>
  <c r="H43" i="4" l="1"/>
  <c r="I43" i="4" l="1"/>
  <c r="E3" i="5" l="1"/>
  <c r="E13" i="5" l="1"/>
  <c r="E8" i="5"/>
  <c r="C9" i="5"/>
  <c r="D9" i="5" s="1"/>
  <c r="E12" i="5"/>
  <c r="E11" i="5"/>
  <c r="E7" i="5"/>
  <c r="E10" i="5"/>
  <c r="C7" i="5"/>
  <c r="E9" i="5"/>
  <c r="C11" i="5"/>
  <c r="H21" i="6"/>
  <c r="V19" i="12" s="1"/>
  <c r="W19" i="12" s="1"/>
  <c r="H20" i="6"/>
  <c r="E13" i="8"/>
  <c r="E14" i="8" s="1"/>
  <c r="C22" i="5"/>
  <c r="D22" i="5" s="1"/>
  <c r="E22" i="5" s="1"/>
  <c r="C23" i="5"/>
  <c r="D23" i="5" s="1"/>
  <c r="E23" i="5" s="1"/>
  <c r="V23" i="12" l="1"/>
  <c r="W23" i="12" s="1"/>
  <c r="D7" i="5"/>
  <c r="C10" i="5"/>
  <c r="C12" i="5"/>
  <c r="C8" i="5"/>
  <c r="C19" i="5"/>
  <c r="D19" i="5" s="1"/>
  <c r="C20" i="5"/>
  <c r="E20" i="5" s="1"/>
  <c r="U50" i="12" l="1"/>
  <c r="W50" i="12" s="1"/>
  <c r="U49" i="12"/>
  <c r="W49" i="12" s="1"/>
  <c r="D10" i="5"/>
  <c r="D12" i="5"/>
  <c r="U52" i="12" s="1"/>
  <c r="W52" i="12" s="1"/>
  <c r="D11" i="5"/>
  <c r="U51" i="12" s="1"/>
  <c r="W51" i="12" s="1"/>
  <c r="D8" i="5"/>
  <c r="U48" i="12" s="1"/>
  <c r="W48" i="12" s="1"/>
  <c r="C13" i="5"/>
  <c r="G12" i="6"/>
  <c r="G13" i="6" s="1"/>
  <c r="G14" i="6" s="1"/>
  <c r="G15" i="6" s="1"/>
  <c r="C14" i="5" l="1"/>
  <c r="D13" i="5"/>
  <c r="U53" i="12" s="1"/>
  <c r="W53" i="12" s="1"/>
  <c r="E15" i="7" l="1"/>
  <c r="C21" i="5" l="1"/>
  <c r="E21" i="5" s="1"/>
  <c r="E12" i="7"/>
  <c r="E14" i="7"/>
  <c r="E11" i="7"/>
  <c r="C18" i="5"/>
  <c r="E18" i="5" s="1"/>
  <c r="U40" i="12" s="1"/>
  <c r="W40" i="12" s="1"/>
  <c r="D17" i="7" l="1"/>
  <c r="G25" i="6"/>
  <c r="E13" i="7"/>
  <c r="G24" i="6"/>
  <c r="E17" i="7" l="1"/>
  <c r="E19" i="7" s="1"/>
  <c r="C17" i="5"/>
  <c r="E17" i="5" s="1"/>
  <c r="C24" i="5" l="1"/>
  <c r="C26" i="5" s="1"/>
  <c r="B24" i="5"/>
  <c r="B26" i="5" s="1"/>
  <c r="A27" i="6" l="1"/>
  <c r="H17" i="6"/>
  <c r="D35" i="5"/>
  <c r="E35" i="5" s="1"/>
  <c r="H10" i="6"/>
  <c r="V32" i="12" s="1"/>
  <c r="W32" i="12" s="1"/>
  <c r="D36" i="5"/>
  <c r="E36" i="5" s="1"/>
  <c r="B27" i="6"/>
  <c r="F31" i="6" s="1"/>
  <c r="A28" i="6"/>
  <c r="B28" i="6"/>
  <c r="H16" i="6"/>
  <c r="V30" i="12" s="1"/>
  <c r="W30" i="12" s="1"/>
  <c r="V31" i="12" l="1"/>
  <c r="W31" i="12" s="1"/>
  <c r="E32" i="6"/>
  <c r="B32" i="13"/>
  <c r="B44" i="13"/>
  <c r="B36" i="13"/>
  <c r="B10" i="13" s="1"/>
  <c r="K10" i="13" s="1"/>
  <c r="B43" i="13"/>
  <c r="B31" i="13"/>
  <c r="E33" i="6"/>
  <c r="F33" i="6" s="1"/>
  <c r="H18" i="6"/>
  <c r="V35" i="12" s="1"/>
  <c r="W35" i="12" s="1"/>
  <c r="G20" i="6"/>
  <c r="G10" i="6"/>
  <c r="G11" i="6" s="1"/>
  <c r="G4" i="6"/>
  <c r="G5" i="6" s="1"/>
  <c r="G6" i="6" s="1"/>
  <c r="G7" i="6" s="1"/>
  <c r="G8" i="6" s="1"/>
  <c r="G9" i="6" s="1"/>
  <c r="G17" i="6"/>
  <c r="D34" i="5"/>
  <c r="E34" i="5" s="1"/>
  <c r="G21" i="6"/>
  <c r="G22" i="6" s="1"/>
  <c r="G23" i="6" s="1"/>
  <c r="W42" i="12" l="1"/>
  <c r="C42" i="13"/>
  <c r="B14" i="13" s="1"/>
  <c r="K14" i="13" s="1"/>
  <c r="B39" i="13"/>
  <c r="B47" i="13"/>
  <c r="B16" i="13" s="1"/>
  <c r="K16" i="13" s="1"/>
  <c r="B41" i="13"/>
  <c r="B13" i="13" s="1"/>
  <c r="K13" i="13" s="1"/>
  <c r="B30" i="13"/>
  <c r="G18" i="6"/>
  <c r="G19" i="6" s="1"/>
  <c r="H26" i="6"/>
  <c r="E27" i="6" s="1"/>
  <c r="E19" i="5"/>
  <c r="E24" i="5" s="1"/>
  <c r="G16" i="6"/>
  <c r="D14" i="5"/>
  <c r="V58" i="12" l="1"/>
  <c r="D24" i="5"/>
  <c r="D26" i="5" s="1"/>
  <c r="F32" i="6"/>
  <c r="B38" i="13" l="1"/>
  <c r="B46" i="13"/>
  <c r="B15" i="13" s="1"/>
  <c r="K15" i="13" s="1"/>
  <c r="B12" i="13" l="1"/>
  <c r="C14" i="8"/>
  <c r="B14" i="8" s="1"/>
  <c r="C24" i="8" l="1"/>
  <c r="F30" i="6"/>
  <c r="B35" i="13" l="1"/>
  <c r="C34" i="13" s="1"/>
  <c r="B8" i="13" s="1"/>
  <c r="K8" i="13" s="1"/>
  <c r="C22" i="8"/>
  <c r="K12" i="13" l="1"/>
  <c r="C23" i="8"/>
  <c r="L18" i="13"/>
  <c r="E14" i="5"/>
  <c r="E26" i="5" s="1"/>
  <c r="D28" i="5" s="1"/>
  <c r="U47" i="12"/>
  <c r="W47" i="12" s="1"/>
  <c r="W56" i="12" s="1"/>
  <c r="D33" i="5" l="1"/>
  <c r="E33" i="5" s="1"/>
  <c r="B29" i="13" s="1"/>
  <c r="C28" i="13" s="1"/>
  <c r="B7" i="13" s="1"/>
  <c r="E23" i="8"/>
  <c r="G23" i="8" s="1"/>
  <c r="C13" i="8"/>
  <c r="B13" i="8" s="1"/>
  <c r="B16" i="8" s="1"/>
  <c r="B18" i="8" s="1"/>
  <c r="E22" i="8"/>
  <c r="G22" i="8" s="1"/>
  <c r="E24" i="8"/>
  <c r="U58" i="12"/>
  <c r="W58" i="12" l="1"/>
  <c r="U62" i="12"/>
  <c r="G24" i="8"/>
  <c r="H22" i="8"/>
  <c r="K7" i="13"/>
  <c r="B18" i="13"/>
  <c r="B22" i="13" s="1"/>
  <c r="B26" i="13" s="1"/>
  <c r="B9" i="13"/>
  <c r="B11" i="13" s="1"/>
  <c r="K9" i="13" l="1"/>
  <c r="K11" i="13" s="1"/>
  <c r="K18" i="13"/>
  <c r="H33" i="8"/>
  <c r="H35" i="8" s="1"/>
  <c r="K22" i="13" l="1"/>
  <c r="K26" i="13" s="1"/>
  <c r="F23" i="13"/>
</calcChain>
</file>

<file path=xl/sharedStrings.xml><?xml version="1.0" encoding="utf-8"?>
<sst xmlns="http://schemas.openxmlformats.org/spreadsheetml/2006/main" count="505" uniqueCount="413">
  <si>
    <t>AZ:</t>
  </si>
  <si>
    <t>PNK:</t>
  </si>
  <si>
    <t>Laufzeit Beginn:</t>
  </si>
  <si>
    <t>Laufzeit Ende:</t>
  </si>
  <si>
    <t>Zielgruppe:</t>
  </si>
  <si>
    <t>prozentualer Anteil Wohnfläche</t>
  </si>
  <si>
    <t>prozentualer Anteil Fachleistungsfläche</t>
  </si>
  <si>
    <t>Auslastung:</t>
  </si>
  <si>
    <t>Divisor:</t>
  </si>
  <si>
    <t>Plätze Gesamt</t>
  </si>
  <si>
    <t>Personal-schlüssel</t>
  </si>
  <si>
    <t>Personal-kosten VK ohne PNK  in €</t>
  </si>
  <si>
    <t>Kosten Ges. in € mit PNK</t>
  </si>
  <si>
    <t>neuer Betrag in €</t>
  </si>
  <si>
    <t>Fachleistung 
SGB IX</t>
  </si>
  <si>
    <t>Personalaufwand</t>
  </si>
  <si>
    <t>Leitung und Verwaltung</t>
  </si>
  <si>
    <t>Wirtschaftsdienst</t>
  </si>
  <si>
    <t>Erziehung, Betreuung, Pflege</t>
  </si>
  <si>
    <t>Funktionsdienst</t>
  </si>
  <si>
    <t>weitere Mitarbeiter</t>
  </si>
  <si>
    <t>Personalaufwand gesamt</t>
  </si>
  <si>
    <t>Sachaufwand</t>
  </si>
  <si>
    <t>Lebensmittelaufwand</t>
  </si>
  <si>
    <t>Wasser / Abwasser</t>
  </si>
  <si>
    <t>Treibstoffe</t>
  </si>
  <si>
    <t>Allgemeiner Materialaufwand</t>
  </si>
  <si>
    <t>Fremde Leistungen</t>
  </si>
  <si>
    <t>Pflegerischer Sachaufwand</t>
  </si>
  <si>
    <t>Erhaltung Wäsche, Bekleidung</t>
  </si>
  <si>
    <t>Gemeinschaftsveranstaltungen</t>
  </si>
  <si>
    <t>Lehr- und Lernmittel/Beschäftigung</t>
  </si>
  <si>
    <t>Sächlicher Verwaltungsaufwand</t>
  </si>
  <si>
    <t>Zentrale Leistungen</t>
  </si>
  <si>
    <t>Steuern, Abgaben, Versicherungen</t>
  </si>
  <si>
    <t xml:space="preserve">Sachaufwand gesamt </t>
  </si>
  <si>
    <t>Investitionsbetrag</t>
  </si>
  <si>
    <t>Abschreibungen auf Gebäude</t>
  </si>
  <si>
    <t>Abschreibungen auf Inventar</t>
  </si>
  <si>
    <t>Instandhaltung/ Instandsetzung</t>
  </si>
  <si>
    <t>Zinsen</t>
  </si>
  <si>
    <t>Mieten</t>
  </si>
  <si>
    <t>Leasing</t>
  </si>
  <si>
    <t>Pacht- und Erbbauzins</t>
  </si>
  <si>
    <t>Investitionsbetrag gesamt</t>
  </si>
  <si>
    <t>Empfehlung zu Kosten für Unterkunft</t>
  </si>
  <si>
    <t>Empfehlung zu Kosten für Lebens-unterhalt</t>
  </si>
  <si>
    <t xml:space="preserve">     </t>
  </si>
  <si>
    <t xml:space="preserve"> </t>
  </si>
  <si>
    <t>AWG</t>
  </si>
  <si>
    <t xml:space="preserve">auf der Grundlage der Beschlüsse der Kommission nach § 79 SGB XII </t>
  </si>
  <si>
    <t>für den Freistaat Sachsen</t>
  </si>
  <si>
    <t>Name der Einrichtung:</t>
  </si>
  <si>
    <t>Anschrift der Einrichtung:</t>
  </si>
  <si>
    <t>Telefon:</t>
  </si>
  <si>
    <t>Ansprechpartner:</t>
  </si>
  <si>
    <t>Fax:</t>
  </si>
  <si>
    <t>Email-Adresse:</t>
  </si>
  <si>
    <t>Träger der Einrichtung:</t>
  </si>
  <si>
    <t>Anschrift des Trägers:</t>
  </si>
  <si>
    <t>Summe NGF</t>
  </si>
  <si>
    <t>Wohnfläche in m²</t>
  </si>
  <si>
    <t>Fachleistungsfl. m²</t>
  </si>
  <si>
    <t>Mischfläche in m²</t>
  </si>
  <si>
    <t>Wohnfläche in m²/Platz</t>
  </si>
  <si>
    <t>Fachleistungsfl. m²/Platz</t>
  </si>
  <si>
    <t>Mischfläche in m²/Platz</t>
  </si>
  <si>
    <t>% Anteil Wohnfläche</t>
  </si>
  <si>
    <t>% Anteil Fachleistungsfl.</t>
  </si>
  <si>
    <t>Gesamt m² der  Bewohner -Zimmer</t>
  </si>
  <si>
    <t>gesamt gemeinsch. Wohnfläche in m²</t>
  </si>
  <si>
    <t>m²/Platz Gesamtwohnfläche</t>
  </si>
  <si>
    <t>durchschn. m²/Zimmer/Bewohner</t>
  </si>
  <si>
    <t>gemeinsch. Wohnfläche/Bewohner in m²</t>
  </si>
  <si>
    <t>Wir versichern die Richtigkeit und Vollständigkeit der in den Unterlagen enthaltenen Angaben.</t>
  </si>
  <si>
    <t>Ort, Datum</t>
  </si>
  <si>
    <t>rechtsverbindliche Unterschrift des Einrichtungsträgers</t>
  </si>
  <si>
    <t>Stempel der Einrichtung</t>
  </si>
  <si>
    <t>Kosten für das /den Gebäude(-teil) laut Vereinbarung</t>
  </si>
  <si>
    <t>Vereinbarter Auslastungsgrad</t>
  </si>
  <si>
    <t>Position</t>
  </si>
  <si>
    <t>Kosten p.a.</t>
  </si>
  <si>
    <t>Kosten/Bele-gungstag lt. Vereinbarung</t>
  </si>
  <si>
    <t>3. 1  Abschreibungen auf Gebäude</t>
  </si>
  <si>
    <t xml:space="preserve">3.2  Abschreibungen auf Inventar </t>
  </si>
  <si>
    <t>3. 3 Instandhaltung/Instandsetzung abzügl. Mietnebenkosten</t>
  </si>
  <si>
    <t>Bisher nicht durch den KSV anerkannte Investitionskosten</t>
  </si>
  <si>
    <t>3. 4 Zinsen Fremdkapital</t>
  </si>
  <si>
    <t xml:space="preserve">3. 5  Mieten </t>
  </si>
  <si>
    <t xml:space="preserve">3. 6 Leasing </t>
  </si>
  <si>
    <t xml:space="preserve">3. 7 Pacht- und Erbbauzins </t>
  </si>
  <si>
    <t>Nebenkosten für das /den Gebäude(-teil) lt. Vereinbarung</t>
  </si>
  <si>
    <t xml:space="preserve">lfd. Nr. der BetrKV </t>
  </si>
  <si>
    <t>Bezeichnung</t>
  </si>
  <si>
    <t>Definition</t>
  </si>
  <si>
    <t>bisherige Kosten/Belegungstag lt. Vereinbarung</t>
  </si>
  <si>
    <t>Nr. 1</t>
  </si>
  <si>
    <t>öffentlichen Lasten des Grundstücks</t>
  </si>
  <si>
    <t>laufende öffentliche Lasten des Grundstücks hierzu gehört namentlich die Grundsteuer;</t>
  </si>
  <si>
    <t>2.14 Steuern, Abgaben, Versicherungen</t>
  </si>
  <si>
    <t xml:space="preserve">Nr. 2 </t>
  </si>
  <si>
    <t>Kosten der Wasserversorgung</t>
  </si>
  <si>
    <t>Kosten der Wasserversorgung, hierzu gehören die Kosten des Wasserverbrauchs, die Grundgebühren, die Kosten der Anmietung oder anderer Arten der Gebrauchsüberlassung von Wasserzählern sowie die Kosten ihrer Verwendung einschließlich der Kosten der Eichung sowie der Kosten der Berechnung und Aufteilung, die Kosten der Wartung von Wassermengenreglern, die Kosten des Betriebs einer hauseigenen Wasserversorgungsanlage und einer Wasseraufbereitungsanlage einschließlich der Aufbereitungsstoffe;</t>
  </si>
  <si>
    <t xml:space="preserve"> 2.3  Wasserver- und -entsorgung</t>
  </si>
  <si>
    <t xml:space="preserve"> 3.3 Instandhaltung/Instandsetzung</t>
  </si>
  <si>
    <t>Nr. 3</t>
  </si>
  <si>
    <t>Kosten der Entwässerung Abwasser</t>
  </si>
  <si>
    <t xml:space="preserve">Kosten der Entwässerung, hierzu gehören die Gebühren für die Haus- und Grundstücksentwässerung, die Kosten des Betriebs einer entsprechenden nicht öffentlichen Anlage und die Kosten des Betriebs einer Entwässerungspumpe </t>
  </si>
  <si>
    <t>Nr. 4</t>
  </si>
  <si>
    <t xml:space="preserve">Kosten der zentralen Heizungsanlage </t>
  </si>
  <si>
    <t xml:space="preserve">die Kosten des Betriebs der zentralen Heizungsanlage einschließlich der Abgasanlage, hierzu gehören die Kosten der verbrauchten Brennstoffe und ihrer Lieferung, die Kosten des Betriebsstroms, die Kosten der Bedienung, Überwachung und Pflege der Anlage, der regelmäßigen Prüfung ihrer Betriebsbereitschaft und Betriebssicherheit einschließlich der Einstellung durch eine Fachkraft, der Reinigung der Anlage und des Betriebsraums, die Kosten der Messungen nach dem Bundes-Immissionsschutzgesetz, die Kosten der Anmietung oder anderer Arten der Gebrauchsüberlassung einer Ausstattung zur Verbrauchserfassung sowie die Kosten der Verwendung einer Ausstattung zur Verbrauchserfassung einschließlich der Kosten der Eichung sowie der Kosten der Berechnung und Aufteilung </t>
  </si>
  <si>
    <t>Nr. 5</t>
  </si>
  <si>
    <t xml:space="preserve">Kosten der zentralen Warmwasserversorgungsanlage </t>
  </si>
  <si>
    <t xml:space="preserve">Betrieb &amp; Wartungskosten  der Wärmeversorgungsanlagen · </t>
  </si>
  <si>
    <t>Nr. 6</t>
  </si>
  <si>
    <t xml:space="preserve">Kosten verbundener Heizungs- und Warmwasser-versorgungsanlagen
</t>
  </si>
  <si>
    <t xml:space="preserve">Berücksichtigung  unter 
Nr. 4 der BetrKV
Kosten der zentralen Heizungsanlage
</t>
  </si>
  <si>
    <t>Nr. 7</t>
  </si>
  <si>
    <t xml:space="preserve">Personen- oder Lastenaufzugs </t>
  </si>
  <si>
    <t xml:space="preserve">die Kosten des Betriebs des Personen- oder Lastenaufzugs, hierzu gehören die Kosten des Betriebsstroms, die Kosten der Beaufsichtigung, der Bedienung, Überwachung und Pflege der Anlage, der regelmäßigen Prüfung ihrer Betriebsbereitschaft und Betriebssicherheit einschließlich der Einstellung durch eine Fachkraft sowie die Kosten der Reinigung der Anlage </t>
  </si>
  <si>
    <t>Nr. 8</t>
  </si>
  <si>
    <t>Straßenreinigung und Müllbeseitigung</t>
  </si>
  <si>
    <t>die Kosten der Straßenreinigung und Müllbeseitigung, zu den Kosten der Straßenreinigung gehören die für die öffentliche Straßenreinigung zu entrichtenden Gebühren und die Kosten entsprechender nicht öffentlicher Maßnahmen; zu den Kosten der Müllbeseitigung gehören namentlich die für die Müllabfuhr zu entrichtenden Gebühren, die Kosten entsprechender nicht öffentlicher Maßnahmen, die Kosten des Betriebs von Müllkompressoren, Müllschluckern, Müllabsauganlagen sowie des Betriebs von Müllmengenerfassungsanlagen einschließlich der Kosten der Berechnung und Aufteilung;</t>
  </si>
  <si>
    <t>Nr. 9</t>
  </si>
  <si>
    <t>Gebäude und Hausreinigung</t>
  </si>
  <si>
    <t>die Kosten der Gebäudereinigung , zu den Kosten der Gebäudereinigung gehören die Kosten für die Säuberung der von den Bewohnern gemeinsam genutzten Gebäudeteile, wie Zugänge, Flure, Treppen, Keller, Bodenräume, Waschküchen, Fahrkorb des Aufzugs;</t>
  </si>
  <si>
    <t xml:space="preserve">Personalaufwand Wirtsch.-, Versorg.-, techn. Dienst für Reinigungspersonal </t>
  </si>
  <si>
    <t xml:space="preserve">2.6 Fremde Leistungen  </t>
  </si>
  <si>
    <t>Ungezieferbekämpfung</t>
  </si>
  <si>
    <t>die Kosten der Ungezieferbekämpfung</t>
  </si>
  <si>
    <t>Nr. 10</t>
  </si>
  <si>
    <t>Gartenpflege</t>
  </si>
  <si>
    <t>die Kosten der Gartenpflege, hierzu gehören die Kosten der Pflege gärtnerisch angelegter Flächen einschließlich der Erneuerung von Pflanzen und Gehölzen, der Pflege von Spielplätzen einschließlich der Erneuerung von Sand und der Pflege von Plätzen, Zugängen und Zufahrten, die dem nicht öffentlichen Verkehr dienen;</t>
  </si>
  <si>
    <t>Nr. 11</t>
  </si>
  <si>
    <t xml:space="preserve">Allg. Strom, Beleuchtung (Außen-, Flurbeleuchtung) </t>
  </si>
  <si>
    <t>Nr. 12</t>
  </si>
  <si>
    <t xml:space="preserve">Schornsteinreinigung </t>
  </si>
  <si>
    <t>hierzu gehören die Kehrgebühren nach der maßgebenden Gebührenordnung, soweit sie nicht bereits als Kosten nach Nummer 4 Buchstabe a berücksichtigt sind;</t>
  </si>
  <si>
    <t>Nr. 13</t>
  </si>
  <si>
    <t>Sach- und Haftpflichtversicherungen</t>
  </si>
  <si>
    <t xml:space="preserve">die Kosten der Sach- und Haftpflichtversicherung, hierzu gehören namentlich die Kosten der Versicherung des Gebäudes gegen Feuer-, Sturm-, Wasser- sowie sonstige Elementarschäden, der Glasversicherung, der Haftpflichtversicherung für das Gebäude, den Öltank und den Aufzug </t>
  </si>
  <si>
    <t>Nr. 14</t>
  </si>
  <si>
    <t xml:space="preserve"> Hausmeisterkosten </t>
  </si>
  <si>
    <t xml:space="preserve">die Kosten für den Hauswart, hierzu gehören die Vergütung, die Sozialbeiträge und alle geldwerten Leistungen, die der Eigentümer oder Erbbauberechtigte dem Hauswart für seine Arbeit gewährt, soweit diese nicht die Instandhaltung, Instandsetzung, Erneuerung, Schönheitsreparaturen oder die Hausverwaltung betrifft; soweit Arbeiten vom Hauswart ausgeführt werden, dürfen Kosten für Arbeitsleistungen nach den Nummern 2 bis 10 und 16 nicht angesetzt werden </t>
  </si>
  <si>
    <t>Nr. 15</t>
  </si>
  <si>
    <t xml:space="preserve">Gemeinschaftsantenne  Breitbandkabelanschluss </t>
  </si>
  <si>
    <t>die Kosten des Betriebs der Gemeinschafts-Antennenanlage, hierzu gehören die Kosten des Betriebsstroms und die Kosten der regelmäßigen Prüfung ihrer Betriebsbereitschaft einschließlich der Einstellung durch eine Fachkraft oder das Nutzungsentgelt für eine nicht zu dem Gebäude gehörende Antennenanlage sowie die Gebühren, die nach dem Urheberrechtsgesetz für die Kabelweitersendung entstehen.</t>
  </si>
  <si>
    <t>Nr. 16</t>
  </si>
  <si>
    <t>Einrichtungen für die Wäschepflege</t>
  </si>
  <si>
    <t>die Kosten des Betriebs der Einrichtungen für die Wäschepflege, hierzu gehören die Kosten des Betriebsstroms, die Kosten der Überwachung, Pflege und Reinigung der Einrichtungen, der regelmäßigen Prüfung ihrer Betriebsbereitschaft und Betriebssicherheit sowie die Kosten der Wasserversorgung entsprechend Nummer 2, soweit sie nicht dort bereits berücksichtigt sind</t>
  </si>
  <si>
    <t xml:space="preserve">2.5 Allgemeiner Materialaufwand   </t>
  </si>
  <si>
    <t>Nr. 17</t>
  </si>
  <si>
    <t>Sonstige Betriebskosten</t>
  </si>
  <si>
    <t>z. B. im Zusammenhang mit Feuerlöschgeräten, Blitzableitern, Reinigung von Dachrinnen, Rauchmeldern, Kosten für Turnusmäßige Trinkwasseruntersuchungen)</t>
  </si>
  <si>
    <t>Summe</t>
  </si>
  <si>
    <t>Nr.9</t>
  </si>
  <si>
    <t>Kosten die keine Investkosten lt. Vereinbarung waren</t>
  </si>
  <si>
    <t>Wohnfläche</t>
  </si>
  <si>
    <t>Gesamtkosten</t>
  </si>
  <si>
    <t>Insgesamtkosten</t>
  </si>
  <si>
    <r>
      <t xml:space="preserve">1.1 Leitung und Verwaltung (anteilig für die </t>
    </r>
    <r>
      <rPr>
        <b/>
        <u/>
        <sz val="11"/>
        <color theme="1"/>
        <rFont val="Arial"/>
        <family val="2"/>
      </rPr>
      <t>Wohn</t>
    </r>
    <r>
      <rPr>
        <sz val="11"/>
        <color theme="1"/>
        <rFont val="Arial"/>
        <family val="2"/>
      </rPr>
      <t>immobilie )</t>
    </r>
  </si>
  <si>
    <t>Kosten für den Lebensunterhalt</t>
  </si>
  <si>
    <t>Divisor/Monat:</t>
  </si>
  <si>
    <t>Kosten pro Monat</t>
  </si>
  <si>
    <t>2.12  Sächlicher Verwaltungs-aufwand</t>
  </si>
  <si>
    <t>Fach-leistungs-fläche</t>
  </si>
  <si>
    <t>durchschnittliche "Nettokaltmiete"</t>
  </si>
  <si>
    <t>Heizkosten</t>
  </si>
  <si>
    <t>Haushaltsstrom</t>
  </si>
  <si>
    <t>Telekommunikation, Rundfunk, Fernsehen, Internet</t>
  </si>
  <si>
    <t>EURO / m²</t>
  </si>
  <si>
    <t>ausgewiesene Kostenzusammensetzung für Wohnraumüberlassung entsprechend Empfehlung</t>
  </si>
  <si>
    <t>anteilige Kosten / Bele-gungstag lt. Vereinbarung</t>
  </si>
  <si>
    <r>
      <t xml:space="preserve">Kosten der Beleuchtung, hierzu gehören die Kosten des Stroms für die Außenbeleuchtung und die Beleuchtung der von den Bewohnern gemeinsam genutzten Gebäudeteile, wie Zugänge, Flure, Treppen, Keller, Bodenräume, Waschküchen </t>
    </r>
    <r>
      <rPr>
        <b/>
        <sz val="11"/>
        <color theme="1"/>
        <rFont val="Arial"/>
        <family val="2"/>
      </rPr>
      <t xml:space="preserve"> + allgemeine persönliche Haushaltsstromkosten</t>
    </r>
  </si>
  <si>
    <t>Gesamtwohnfläche</t>
  </si>
  <si>
    <t>Wohnfläche m² anteilig für den Leistungstyp</t>
  </si>
  <si>
    <t>Fachleistungfläche m² anteilig für den Leistungstyp</t>
  </si>
  <si>
    <t>Flächenaufmaß in Wohnformen nach § 42a Abs. 2 Nr. 2 SGB XII</t>
  </si>
  <si>
    <t>Gesamtplätze der</t>
  </si>
  <si>
    <t>Gesamtfläche</t>
  </si>
  <si>
    <t>Wohnstätte</t>
  </si>
  <si>
    <t>Wohnen ohne Kappung</t>
  </si>
  <si>
    <t>Fachleistung  mit Kappung</t>
  </si>
  <si>
    <t>Fachleistung</t>
  </si>
  <si>
    <t xml:space="preserve">  </t>
  </si>
  <si>
    <t xml:space="preserve">Kosten für Haushaltsstrom werden zwingend im WBVG-Vertrag als Bestandteil der KdU aufgenommen  </t>
  </si>
  <si>
    <t>bisherige Wohnform:</t>
  </si>
  <si>
    <t>Gesamtfläche entspr. Flächenerhebung</t>
  </si>
  <si>
    <t xml:space="preserve"> Hausmeisterkosten (abzüglich Hausmeister-instandhaltung)</t>
  </si>
  <si>
    <t>Kosten Tag</t>
  </si>
  <si>
    <t>Gesamtaufwendungen</t>
  </si>
  <si>
    <t>Wohnraumüberlassungskosten</t>
  </si>
  <si>
    <t>Nebenkosten</t>
  </si>
  <si>
    <t>Lebensunterhalt</t>
  </si>
  <si>
    <t>Fachleistungen</t>
  </si>
  <si>
    <t>Personalaufwand weitere Mitarbeiter</t>
  </si>
  <si>
    <t>Wohnfläche  im Leistungstyp</t>
  </si>
  <si>
    <t>X</t>
  </si>
  <si>
    <t>Monate</t>
  </si>
  <si>
    <t>2.2 Energieaufwand Heizung</t>
  </si>
  <si>
    <t>2.2 Energieaufwand Strom</t>
  </si>
  <si>
    <t>2. 13 Zentrale Leistungen (ohne Fachleistungsanteil)</t>
  </si>
  <si>
    <t>Mietausfallwagnis ausschließlich der Kosten der Unterkunft zugeordnet</t>
  </si>
  <si>
    <t xml:space="preserve">Instandhaltung durch Hausmeisterleistung </t>
  </si>
  <si>
    <t>Fläche</t>
  </si>
  <si>
    <t>Kaltmiete/m²</t>
  </si>
  <si>
    <t>Gesamt Miete</t>
  </si>
  <si>
    <t>Abweichung im Budgetvergleich</t>
  </si>
  <si>
    <t>Gesamtbeitrag</t>
  </si>
  <si>
    <t>Kosten / Monat/ Bewohner</t>
  </si>
  <si>
    <t>EUR/Monat/Bew.</t>
  </si>
  <si>
    <t>davon</t>
  </si>
  <si>
    <t xml:space="preserve">      Möblierung</t>
  </si>
  <si>
    <t xml:space="preserve">      Instandhaltung</t>
  </si>
  <si>
    <t xml:space="preserve">      Haushaltsgroßgeräte</t>
  </si>
  <si>
    <t>davon monatlichen zusätzlichen Kosten nach § 42b Abs. 5 SGB XII wie</t>
  </si>
  <si>
    <t>Betriebskosten</t>
  </si>
  <si>
    <t>entspricht Betriebskosten im Monat / Bewohner</t>
  </si>
  <si>
    <t>bisherige Zielgruppe:</t>
  </si>
  <si>
    <t>externe TS</t>
  </si>
  <si>
    <t>interne TS</t>
  </si>
  <si>
    <t>Kosten p.a. (für 365 Tage)</t>
  </si>
  <si>
    <t>bisher berücksichtigt im Kostenblatt</t>
  </si>
  <si>
    <t>künftig zu berücksichtigender prozentualer Anteil für die Betriebskosten</t>
  </si>
  <si>
    <t>Gesamtkosten p.a. (für 365 Tage)</t>
  </si>
  <si>
    <t>Gesamt-Miete</t>
  </si>
  <si>
    <t>Einrichtung liegt im Bereich:
des folgenden örtlichen Sozialhilfeträgers:</t>
  </si>
  <si>
    <t>Eigentum/eigentumsähnlich</t>
  </si>
  <si>
    <t>ja</t>
  </si>
  <si>
    <t>Stadt Chemnitz</t>
  </si>
  <si>
    <t>Stadt Leipzig</t>
  </si>
  <si>
    <t>Stadt Dresden</t>
  </si>
  <si>
    <t>die angemessene örtliche Warmmiete (100 % Grenze) beträgt:</t>
  </si>
  <si>
    <t>Erhöhung der Angemessenheitsgrenze auf 125 %</t>
  </si>
  <si>
    <t>WBVG Vertrag mit dem Bewohner weist zusätzliche Kosten nach § 42a Abs. 5 Satz 4 Nr. 1 bis 4 SGB XII gesondert aus (dabei ist ein Zuschlag wie z.B. Möblierungszuschlag,Strom … ausreichend)</t>
  </si>
  <si>
    <t>nein</t>
  </si>
  <si>
    <t>im Rahmen der Grundsicherung/Hilfe zum Lebenunterhalt werden als Aufwendungen für die Unterkunft berücksichtigt</t>
  </si>
  <si>
    <t>Vergleichsmietberechnung auf Basis der Höhe der anerkannten monatlichen Miete nach SGB XII:</t>
  </si>
  <si>
    <t xml:space="preserve">nicht im Rahmen der Grundsicherung/Hilfe zum Lebensunterhalt zu berücksichtigende Aufwendungen </t>
  </si>
  <si>
    <t>bitte auswählen</t>
  </si>
  <si>
    <t xml:space="preserve">pro Tag </t>
  </si>
  <si>
    <t>pro Monat</t>
  </si>
  <si>
    <t>Regelbedarf abzügl. Kosten pro Monat</t>
  </si>
  <si>
    <t>Flächen</t>
  </si>
  <si>
    <t>Plätze:</t>
  </si>
  <si>
    <t>Übernahme von Arbeitsblatt Lebensunterhalt</t>
  </si>
  <si>
    <t>Personalaufwand gesamt p.a.</t>
  </si>
  <si>
    <t>Sachaufwand gesamt p.a.</t>
  </si>
  <si>
    <t xml:space="preserve">Investitionsbetrag gesamt p.a. </t>
  </si>
  <si>
    <t>Aktenzeichen KSV</t>
  </si>
  <si>
    <t>Plätze Gesamt:</t>
  </si>
  <si>
    <r>
      <t xml:space="preserve">Sachaufwand </t>
    </r>
    <r>
      <rPr>
        <b/>
        <u/>
        <sz val="9"/>
        <rFont val="Arial"/>
        <family val="2"/>
      </rPr>
      <t>gesondert</t>
    </r>
    <r>
      <rPr>
        <u/>
        <sz val="9"/>
        <rFont val="Arial"/>
        <family val="2"/>
      </rPr>
      <t xml:space="preserve"> vereinbarten</t>
    </r>
    <r>
      <rPr>
        <sz val="9"/>
        <rFont val="Arial"/>
        <family val="2"/>
      </rPr>
      <t xml:space="preserve"> Baustein Betreuung</t>
    </r>
  </si>
  <si>
    <r>
      <rPr>
        <b/>
        <u/>
        <sz val="11"/>
        <rFont val="Arial"/>
        <family val="2"/>
      </rPr>
      <t>Musterbeispiel</t>
    </r>
    <r>
      <rPr>
        <sz val="11"/>
        <rFont val="Arial"/>
        <family val="2"/>
      </rPr>
      <t xml:space="preserve"> zur Mietberechnung </t>
    </r>
    <r>
      <rPr>
        <b/>
        <u/>
        <sz val="11"/>
        <rFont val="Arial"/>
        <family val="2"/>
      </rPr>
      <t>auf Basis der durchschnittlich ermittelten</t>
    </r>
    <r>
      <rPr>
        <u/>
        <sz val="11"/>
        <rFont val="Arial"/>
        <family val="2"/>
      </rPr>
      <t xml:space="preserve"> </t>
    </r>
    <r>
      <rPr>
        <sz val="11"/>
        <rFont val="Arial"/>
        <family val="2"/>
      </rPr>
      <t xml:space="preserve">Bewohnerfläche </t>
    </r>
  </si>
  <si>
    <r>
      <rPr>
        <b/>
        <u/>
        <sz val="11"/>
        <rFont val="Arial"/>
        <family val="2"/>
      </rPr>
      <t>durchschn.</t>
    </r>
    <r>
      <rPr>
        <sz val="11"/>
        <rFont val="Arial"/>
        <family val="2"/>
      </rPr>
      <t xml:space="preserve"> m²/Zimmer/Bewohner</t>
    </r>
  </si>
  <si>
    <t>Anschrift:</t>
  </si>
  <si>
    <t>neue Wohnform:</t>
  </si>
  <si>
    <t>neue Auslastung:</t>
  </si>
  <si>
    <t>Neuer Divisor:</t>
  </si>
  <si>
    <t>zusätzlich vereinbarter Baustein Betreuung oder Tagesstruktur</t>
  </si>
  <si>
    <t>Baustein Tagesstruktur bei ehemaligen AWG</t>
  </si>
  <si>
    <t>Energieaufwand / Heizung</t>
  </si>
  <si>
    <t>Strom</t>
  </si>
  <si>
    <t>Zuschlag gem. Übergangsregelung RV</t>
  </si>
  <si>
    <t>Mietausfall</t>
  </si>
  <si>
    <t>Vergütung gesamt ohne Baustein TS</t>
  </si>
  <si>
    <t>KdU mtl</t>
  </si>
  <si>
    <t>Baustein Tagesstruktur gesamt</t>
  </si>
  <si>
    <t>Wohnangebot (Name):</t>
  </si>
  <si>
    <t>Gruppe 3</t>
  </si>
  <si>
    <t>Kaltmiete</t>
  </si>
  <si>
    <t>Betriebskosten( kalt ohne Zusatzkosten gem §42a)</t>
  </si>
  <si>
    <t>Bruttokaltmiete</t>
  </si>
  <si>
    <t>Betriebskosten (Warm)</t>
  </si>
  <si>
    <t>Bruttowarmmiete</t>
  </si>
  <si>
    <t>Zusatzkosten gem. §42 a Abs. 5 S.6 SGB XII</t>
  </si>
  <si>
    <t>Zuschläge Mögblierung (Nr.1)</t>
  </si>
  <si>
    <t>angemessene Zuschläge (Nr. 2)</t>
  </si>
  <si>
    <t>Haushaltsstrom (Nr. 3)</t>
  </si>
  <si>
    <t>Gebühren für Telekommunikation (Nr. 4)</t>
  </si>
  <si>
    <t>Basis Warmmiete lt. WBVG- Vertrag incl. Vereinbarter Zuschläge</t>
  </si>
  <si>
    <t>1,25 fache  Warmmiete</t>
  </si>
  <si>
    <t>Unterschreitung (-) der 1,25 fachen Warmmiete od. übersteigende Kosten</t>
  </si>
  <si>
    <t>anerkannte übersteigende Aufwendungen gem. § 42 Abs.6 SGB XII i.V. m. §113 Abs. 5 SGB IX (mt./Platz)</t>
  </si>
  <si>
    <t>Empfehlung zu KdU je Platz (€/bt)</t>
  </si>
  <si>
    <t>aus Wohraumüberlassungskosten</t>
  </si>
  <si>
    <t>aus Nebenkosten</t>
  </si>
  <si>
    <t>aus Budgetabgleich</t>
  </si>
  <si>
    <t>Daten aus der Mietberechnung (Tool)</t>
  </si>
  <si>
    <t>Daten aus der Kalkulation KSV</t>
  </si>
  <si>
    <t>NK</t>
  </si>
  <si>
    <t>Zuordnung</t>
  </si>
  <si>
    <t>Berechnung Kaltmiete</t>
  </si>
  <si>
    <t>Berechnung Betriebskosten( kalt ohne Zusatzkosten gem §42a)</t>
  </si>
  <si>
    <t>Warmwasser-versorgungsanlagen</t>
  </si>
  <si>
    <t>(5) Für leistungsberechtigte Personen, die in Räumlichkeiten nach Absatz 2 Satz 1 Nummer 2 leben, werden die tatsächlichen Aufwendungen für die Unterkunft, soweit sie angemessen sind, als Bedarf berücksichtigt für</t>
  </si>
  <si>
    <t>1.</t>
  </si>
  <si>
    <t>den persönlichen Wohnraum in voller Höhe, wenn er allein bewohnt wird, und jeweils hälftig, wenn er von zwei Personen bewohnt wird,</t>
  </si>
  <si>
    <t>2.</t>
  </si>
  <si>
    <t>einen Zuschlag für den persönlichen Wohnraum, der vollständig oder teilweise möbliert zur Nutzung überlassen wird, in der sich daraus ergebenden Höhe,</t>
  </si>
  <si>
    <t>3.</t>
  </si>
  <si>
    <t>die Räumlichkeiten, die vorrangig zur gemeinschaftlichen Nutzung der leistungsberechtigten Person und anderer Bewohner bestimmt sind (Gemeinschaftsräume), mit einem Anteil, der sich aus der Anzahl der vorgesehenen Nutzer bei gleicher Aufteilung ergibt.</t>
  </si>
  <si>
    <t>Für die tatsächlichen Aufwendungen für die Heizung werden die auf den persönlichen Wohnraum und die auf die Gemeinschaftsräume entfallenden Anteile als Bedarf anerkannt, soweit sie angemessen sind. Tatsächliche Aufwendungen für Unterkunft und Heizung nach den Sätzen 1 und 2 gelten als angemessen, wenn sie die Höhe der durchschnittlichen angemessenen tatsächlichen Aufwendungen für die Warmmiete von Einpersonenhaushalten nach § 45a nicht überschreiten. Überschreiten die tatsächlichen Aufwendungen die Angemessenheitsgrenze nach Satz 3, sind um bis zu 25 Prozent höhere als die angemessenen Aufwendungen anzuerkennen, wenn die leistungsberechtigte Person die höheren Aufwendungen durch einen Vertrag mit gesondert ausgewiesenen zusätzlichen Kosten nachweist für</t>
  </si>
  <si>
    <t>Zuschläge nach Satz 1 Nummer 2,</t>
  </si>
  <si>
    <t>Wohn- und Wohnnebenkosten, sofern diese Kosten im Verhältnis zu vergleichbaren Wohnformen angemessen sind,</t>
  </si>
  <si>
    <t>Haushaltsstrom, Instandhaltung des persönlichen Wohnraums und der Räumlichkeiten zur gemeinschaftlichen Nutzung sowie die Ausstattung mit Haushaltsgroßgeräten oder</t>
  </si>
  <si>
    <t>4.</t>
  </si>
  <si>
    <t>Gebühren für Telekommunikation sowie Gebühren für den Zugang zu Rundfunk, Fernsehen und Internet.</t>
  </si>
  <si>
    <t>Die zusätzlichen Aufwendungen nach Satz 4 Nummer 2 bis 4 sind nach der Anzahl der in einer baulichen Einheit lebenden Personen zu gleichen Teilen aufzuteilen.</t>
  </si>
  <si>
    <t>§ 42a SGB XII Bedarfe für Unterkunft und Heizung</t>
  </si>
  <si>
    <t>MW Monatsmiete je Platz in €</t>
  </si>
  <si>
    <t>Empfehlung Monatsmiete je Platz in €</t>
  </si>
  <si>
    <t>Auslastung</t>
  </si>
  <si>
    <t>Zuhause</t>
  </si>
  <si>
    <t>Wohnstätte Externe Tagesstruktur</t>
  </si>
  <si>
    <t xml:space="preserve">  -  bitte aus den unten stehenden zwei Optionen auswählen  -</t>
  </si>
  <si>
    <t>Empfehlung zur Daten zur Übernahme ins Antragsformular der übersteigenden 125% Mietkosten gegenüber KSV</t>
  </si>
  <si>
    <t>Ursache der Antragsabweichung</t>
  </si>
  <si>
    <t>Antragsabweichung  aus  Berechnungsdifferenz zwischen Antragsformular Mitekosten KSV und Berechnungstoolool</t>
  </si>
  <si>
    <t>Differenz</t>
  </si>
  <si>
    <t xml:space="preserve">neue Abwesenheitsvergütung </t>
  </si>
  <si>
    <t>Mietpreiskalkulation  entspr. KSV Kalkulation auf 100% Auslastung, dadurch ein etwas höherer Mietpreis als bei realer Auslastung</t>
  </si>
  <si>
    <t>Die Berechnung erfolgt automatisch</t>
  </si>
  <si>
    <r>
      <t xml:space="preserve">Die Daten im  </t>
    </r>
    <r>
      <rPr>
        <b/>
        <sz val="11"/>
        <rFont val="Arial"/>
        <family val="2"/>
      </rPr>
      <t>Arbeitsblatt Nebenkosten</t>
    </r>
    <r>
      <rPr>
        <sz val="11"/>
        <rFont val="Arial"/>
        <family val="2"/>
      </rPr>
      <t xml:space="preserve"> berechnen sich automatisch</t>
    </r>
  </si>
  <si>
    <r>
      <t xml:space="preserve">Die Daten im  </t>
    </r>
    <r>
      <rPr>
        <b/>
        <sz val="11"/>
        <rFont val="Arial"/>
        <family val="2"/>
      </rPr>
      <t>Arbeitsblatt Wohnraumüberlassungskosten</t>
    </r>
    <r>
      <rPr>
        <sz val="11"/>
        <rFont val="Arial"/>
        <family val="2"/>
      </rPr>
      <t xml:space="preserve"> berechnen sich automatisch</t>
    </r>
  </si>
  <si>
    <t>Übernehmen Suie bitte die Daten aus der jeweiligen gültigen Vereinbarung mit dem KSV</t>
  </si>
  <si>
    <r>
      <t xml:space="preserve">Die Daten im  </t>
    </r>
    <r>
      <rPr>
        <b/>
        <sz val="11"/>
        <rFont val="Arial"/>
        <family val="2"/>
      </rPr>
      <t>Arbeitsblatt Lebensunterhalt</t>
    </r>
    <r>
      <rPr>
        <sz val="11"/>
        <rFont val="Arial"/>
        <family val="2"/>
      </rPr>
      <t xml:space="preserve"> berechnen sich automatisch</t>
    </r>
  </si>
  <si>
    <r>
      <t xml:space="preserve">Die Daten im  </t>
    </r>
    <r>
      <rPr>
        <b/>
        <sz val="11"/>
        <rFont val="Arial"/>
        <family val="2"/>
      </rPr>
      <t>Arbeitsblatt Antrag zur Mietübernahmen KSV</t>
    </r>
    <r>
      <rPr>
        <sz val="11"/>
        <rFont val="Arial"/>
        <family val="2"/>
      </rPr>
      <t xml:space="preserve"> berechnen sich automatisch</t>
    </r>
  </si>
  <si>
    <t>Hier werden die Daten des Kalkulationstoll mit den  Daten zur Übernahme ins Antragsformular der übersteigenden 125% Mietkosten gegenüber KSV abgeglichen</t>
  </si>
  <si>
    <t>Sie können diese Daten zur Übernahme ins Antragsformular der übersteigenden 125% Mietkosten gegenüber KSV übernehmen.</t>
  </si>
  <si>
    <t xml:space="preserve">Der Grund ist die Berechnungsform der Miete des KSV auf Basis der Bettenbelegungstage. </t>
  </si>
  <si>
    <t>Die klassische Mietberechnung erfolgt jedoch auf der Grundlage der Kosten der Mietfläche</t>
  </si>
  <si>
    <r>
      <t>Im</t>
    </r>
    <r>
      <rPr>
        <b/>
        <sz val="11"/>
        <rFont val="Arial"/>
        <family val="2"/>
      </rPr>
      <t xml:space="preserve"> Arbeitsblatt Stammbaltt </t>
    </r>
    <r>
      <rPr>
        <sz val="11"/>
        <rFont val="Arial"/>
        <family val="2"/>
      </rPr>
      <t>füllen Sie bitte die grau hinterlegten Zellen aus.</t>
    </r>
  </si>
  <si>
    <t>Bitte füllen Sie die grau hinterlegten Zellen aus. Die anderen Zellen sind durch EXCEL geschützt</t>
  </si>
  <si>
    <t xml:space="preserve">H I N W E I S E </t>
  </si>
  <si>
    <t xml:space="preserve"> A ) Mietpreiskalkulation  entspr. KSV Kalkulation auf 100% Auslastung, dadurch ein etwas höherer Mietpreis als bei realer Auslastung</t>
  </si>
  <si>
    <t xml:space="preserve"> B)   reale vereinbarte Auslastung und keine KSV Anpassung</t>
  </si>
  <si>
    <r>
      <t>Im</t>
    </r>
    <r>
      <rPr>
        <b/>
        <sz val="11"/>
        <rFont val="Arial"/>
        <family val="2"/>
      </rPr>
      <t xml:space="preserve"> Arbeitsblatt Vereinbarungen 2025 * </t>
    </r>
    <r>
      <rPr>
        <sz val="11"/>
        <rFont val="Arial"/>
        <family val="2"/>
      </rPr>
      <t>füllen Sie bitte die grau hinterlegten Zellen aus.</t>
    </r>
  </si>
  <si>
    <r>
      <t xml:space="preserve">Die Daten im  </t>
    </r>
    <r>
      <rPr>
        <b/>
        <sz val="11"/>
        <rFont val="Arial"/>
        <family val="2"/>
      </rPr>
      <t>Arbeitsblatt Budgetabgleich 2025</t>
    </r>
    <r>
      <rPr>
        <sz val="11"/>
        <rFont val="Arial"/>
        <family val="2"/>
      </rPr>
      <t xml:space="preserve"> berechnen sich automatisch</t>
    </r>
  </si>
  <si>
    <r>
      <t xml:space="preserve">Beachten Sie dabei das je nach Auswahl aus den </t>
    </r>
    <r>
      <rPr>
        <b/>
        <sz val="11"/>
        <rFont val="Arial"/>
        <family val="2"/>
      </rPr>
      <t xml:space="preserve">Arbeitsblatt Vereinbarungen  2025 * </t>
    </r>
    <r>
      <rPr>
        <sz val="11"/>
        <rFont val="Arial"/>
        <family val="2"/>
      </rPr>
      <t>es zu abweichungen kommen kann.</t>
    </r>
  </si>
  <si>
    <t>Zu beachten ist das es zwei Auswahlmöglichkeiten auf dem Arbeitsblatt „Vereinbarung 2025“ gibt Zelle U9</t>
  </si>
  <si>
    <t>Erzgebirgskreis – Region A</t>
  </si>
  <si>
    <t>Erzgebirgskreis – Region B</t>
  </si>
  <si>
    <t>Erzgebirgskreis – Region C</t>
  </si>
  <si>
    <t>Erzgebirgskreis – Region D</t>
  </si>
  <si>
    <t>Erzgebirgskreis – Region E</t>
  </si>
  <si>
    <t>LK Bautzen - Bautzener Land</t>
  </si>
  <si>
    <t>LK Bautzen – Bischofswerdaer Land</t>
  </si>
  <si>
    <t>LK Bautzen – Dresdener Land</t>
  </si>
  <si>
    <t>LK Bautzen – Hoyerswerdaer Land</t>
  </si>
  <si>
    <t>LK Bautzen – Kamenzer Land</t>
  </si>
  <si>
    <t>LK Bautzen – Stadt Bautzen</t>
  </si>
  <si>
    <t>LK Bautzen – Stadt Bischofswerda</t>
  </si>
  <si>
    <t>LK Bautzen – Stadt Hoyerswerda</t>
  </si>
  <si>
    <t>LK Bautzen – Stadt Kamenz</t>
  </si>
  <si>
    <t>LK Leipzig – LK Ost</t>
  </si>
  <si>
    <t>LK Leipzig – Markranstädt</t>
  </si>
  <si>
    <t>LK Leipzig – Markkleeberg</t>
  </si>
  <si>
    <t>LK Leipzig – Grimma</t>
  </si>
  <si>
    <t>LK Leipzig – Borna</t>
  </si>
  <si>
    <t>LK Leipzig – LK Mitte</t>
  </si>
  <si>
    <t>LK Leipzig – LK West</t>
  </si>
  <si>
    <t>LK Mittelsachsen - Freiberg</t>
  </si>
  <si>
    <t>LK Mittelsachsen - Mittelbereich Freiberg</t>
  </si>
  <si>
    <t>LK Mittelsachsen - Mittelbereich Döbeln</t>
  </si>
  <si>
    <t>LK Mittelsachsen - Mittelbereich Mittweida</t>
  </si>
  <si>
    <t>LK Mittelsachsen - Umland Chemnitz</t>
  </si>
  <si>
    <t>LK Zwickau - Stadt Zwickau</t>
  </si>
  <si>
    <t>LK Görlitz – Pl-r. 1Z: Weißwasser Stadt</t>
  </si>
  <si>
    <t>LK Görlitz – Pl-r. 1: Weißwasser Land</t>
  </si>
  <si>
    <t>LK Görlitz – Pl-r. 2: Niesky Land</t>
  </si>
  <si>
    <t>LK Görlitz – Pl-r. 2Z: Niesky Stadt</t>
  </si>
  <si>
    <t>LK Görlitz – Pl-r. 3: Stadt Görlitz</t>
  </si>
  <si>
    <t>LK Görlitz – Pl-r.  4Z: Löbau Stadt</t>
  </si>
  <si>
    <t>LK Görlitz – Pl-r. 4: Löbau Land</t>
  </si>
  <si>
    <t>LK Görlitz – Pl-r. 5: Zittau Land</t>
  </si>
  <si>
    <t>LK Görlitz – Pl-r. 5Z: Zittau Stadt</t>
  </si>
  <si>
    <t>LK Meißen - Vgl-r. 1: Stadt Riesa</t>
  </si>
  <si>
    <t>LK Meißen - Vgl-r. 2: Stadt Coswig; Stadt Meißen</t>
  </si>
  <si>
    <t>LK Meißen - Vgl-r. 3: Stadt Großenhain</t>
  </si>
  <si>
    <t>LK Meißen - Vgl-r. 4: Stadt Radebeul</t>
  </si>
  <si>
    <t>LK Meißen - Vgl-r. 5: Dresdner Umland</t>
  </si>
  <si>
    <t>LK Meißen -Vgl-r. 6: Erweiterte Großenhainer Pflege</t>
  </si>
  <si>
    <t>LK Meißen - Vgl-r. 7: Lommatzscher Pflege</t>
  </si>
  <si>
    <t>LK Meißen - Vgl-r. 8: Nord-West</t>
  </si>
  <si>
    <t>LK Nordsachen - Vgl-r. 01</t>
  </si>
  <si>
    <t>LK Nordsachen - Vgl-r. 02</t>
  </si>
  <si>
    <t>LK Nordsachen - Vgl-r. 03</t>
  </si>
  <si>
    <t>LK Sächs. Schweiz-Osterzg. - Vgl-r. 3</t>
  </si>
  <si>
    <t xml:space="preserve">LK Sächs. Schweiz-Osterzg. - Vgl-r. 1 </t>
  </si>
  <si>
    <t>LK Sächs. Schweiz-Osterzg. - Vgl-r. 4</t>
  </si>
  <si>
    <t>LK Sächs. Schweiz-Osterzg - Vgl-r. 5</t>
  </si>
  <si>
    <t>LK Sächs. Schweiz-Osterzg. - Vgl-r. 6</t>
  </si>
  <si>
    <t>Vogtlandkreis - Vgl-r. Plauen</t>
  </si>
  <si>
    <t>Vogtlandkreis - Vgl-r. Oelsnitz</t>
  </si>
  <si>
    <t>Vogtlandkreis - Vgl-r.  Auerbach</t>
  </si>
  <si>
    <t>LK Zwickau - Vgl-r. 2</t>
  </si>
  <si>
    <t>LK Zwickau - Vgl-r. 3</t>
  </si>
  <si>
    <t>LK Zwickau - Vgl-r. 4</t>
  </si>
  <si>
    <t>LK Zwickau - Vgl-r. 5</t>
  </si>
  <si>
    <t>Vogtlandkreis - Vgl-r.  Reichenbach</t>
  </si>
  <si>
    <t>LK Sächs. Schweiz-Osterzg. -  Vgl-r. 2</t>
  </si>
  <si>
    <r>
      <rPr>
        <b/>
        <u/>
        <sz val="14"/>
        <color theme="1"/>
        <rFont val="Arial"/>
        <family val="2"/>
      </rPr>
      <t xml:space="preserve">ergänzendes </t>
    </r>
    <r>
      <rPr>
        <b/>
        <sz val="14"/>
        <color theme="1"/>
        <rFont val="Arial"/>
        <family val="2"/>
      </rPr>
      <t>Berechnungstool zur Ermittlung der  Mietkosten auf der Grundlage der Neuverhandlungen für das Jahr 2026</t>
    </r>
  </si>
  <si>
    <t xml:space="preserve"> vereinbarte Kostendaten  nach Teil E bzw. Antragstellungsdaten nach Teil B für  2026</t>
  </si>
  <si>
    <t>Trennung/Zuordnung Fachleistung 2026</t>
  </si>
  <si>
    <t>Übernahme von Arbeitsblatt Vereinbarung 2026</t>
  </si>
  <si>
    <t>im Jahr 2026</t>
  </si>
  <si>
    <t>anteilige Kosten  entsprechend Kostenzuordnung im Jahr 2026</t>
  </si>
  <si>
    <t>Regelbedarfsstufe 2 ab 01.01.2026</t>
  </si>
  <si>
    <t>dem Bewohner ab 01.01.2026 verbleibender Betrag vom Regelbedarf</t>
  </si>
  <si>
    <t xml:space="preserve">Aufwendungen für 2026 entspr. PK, SK, IK Zuordnung </t>
  </si>
  <si>
    <t>Aufwendungen für 2026 nach Trennung der Leistung</t>
  </si>
  <si>
    <t>Aus der Vereinbarung 2025</t>
  </si>
  <si>
    <t>Abgleich mit der Kalkulation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</si>
</sst>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0.00\ &quot;€&quot;;[Red]\-#,##0.00\ &quot;€&quot;"/>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 #,##0.00\ _D_M_-;\-* #,##0.00\ _D_M_-;_-* &quot;-&quot;??\ _D_M_-;_-@_-"/>
    <numFmt numFmtId="167" formatCode="_-* #,##0.00\ [$€-407]_-;\-* #,##0.00\ [$€-407]_-;_-* &quot;-&quot;??\ [$€-407]_-;_-@_-"/>
    <numFmt numFmtId="168" formatCode="0.00;0;"/>
    <numFmt numFmtId="169" formatCode="0.0%"/>
    <numFmt numFmtId="170" formatCode="#,##0.00\ &quot;m²&quot;"/>
    <numFmt numFmtId="171" formatCode="#,##0.00\ &quot;€ Kaltmiete pro m²&quot;"/>
    <numFmt numFmtId="172" formatCode="#,##0.00\ &quot;€ Mietnebenkosten pro m²&quot;"/>
    <numFmt numFmtId="173" formatCode="0.000;0.0;"/>
    <numFmt numFmtId="174" formatCode="#,##0.00\ &quot;€ / m²&quot;"/>
    <numFmt numFmtId="175" formatCode="_-* #,##0\ [$€-407]_-;\-* #,##0\ [$€-407]_-;_-* &quot;-&quot;\ [$€-407]_-;_-@_-"/>
    <numFmt numFmtId="176" formatCode="#,##0.00\ [$€-407];\-#,##0.00\ [$€-407]"/>
    <numFmt numFmtId="177" formatCode="#,##0.00\ &quot;€&quot;"/>
  </numFmts>
  <fonts count="45" x14ac:knownFonts="1">
    <font>
      <sz val="10"/>
      <name val="Arial"/>
      <family val="2"/>
    </font>
    <font>
      <sz val="10"/>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name val="Arial"/>
      <family val="2"/>
    </font>
    <font>
      <b/>
      <u/>
      <sz val="14"/>
      <color indexed="8"/>
      <name val="Arial"/>
      <family val="2"/>
    </font>
    <font>
      <b/>
      <u/>
      <sz val="10"/>
      <color indexed="8"/>
      <name val="Arial"/>
      <family val="2"/>
    </font>
    <font>
      <b/>
      <sz val="10"/>
      <name val="Arial"/>
      <family val="2"/>
    </font>
    <font>
      <b/>
      <sz val="14"/>
      <color rgb="FFC00000"/>
      <name val="Arial"/>
      <family val="2"/>
    </font>
    <font>
      <b/>
      <sz val="12"/>
      <name val="Arial"/>
      <family val="2"/>
    </font>
    <font>
      <b/>
      <sz val="9"/>
      <name val="Arial"/>
      <family val="2"/>
    </font>
    <font>
      <sz val="9"/>
      <name val="Arial"/>
      <family val="2"/>
    </font>
    <font>
      <sz val="8"/>
      <name val="Arial"/>
      <family val="2"/>
    </font>
    <font>
      <b/>
      <sz val="8"/>
      <name val="Arial"/>
      <family val="2"/>
    </font>
    <font>
      <sz val="9"/>
      <color indexed="8"/>
      <name val="Arial"/>
      <family val="2"/>
    </font>
    <font>
      <b/>
      <sz val="11"/>
      <name val="Arial"/>
      <family val="2"/>
    </font>
    <font>
      <sz val="8"/>
      <color rgb="FFFF0000"/>
      <name val="Arial"/>
      <family val="2"/>
    </font>
    <font>
      <b/>
      <u/>
      <sz val="9"/>
      <name val="Arial"/>
      <family val="2"/>
    </font>
    <font>
      <sz val="11"/>
      <color theme="1"/>
      <name val="Arial"/>
      <family val="2"/>
    </font>
    <font>
      <b/>
      <sz val="14"/>
      <name val="Arial"/>
      <family val="2"/>
    </font>
    <font>
      <sz val="12"/>
      <name val="Arial"/>
      <family val="2"/>
    </font>
    <font>
      <u/>
      <sz val="10"/>
      <color theme="10"/>
      <name val="Arial"/>
      <family val="2"/>
    </font>
    <font>
      <u/>
      <sz val="12"/>
      <color theme="10"/>
      <name val="Arial"/>
      <family val="2"/>
    </font>
    <font>
      <sz val="11"/>
      <name val="Arial"/>
      <family val="2"/>
    </font>
    <font>
      <sz val="14"/>
      <color theme="1"/>
      <name val="Arial"/>
      <family val="2"/>
    </font>
    <font>
      <sz val="8"/>
      <color theme="1"/>
      <name val="Arial"/>
      <family val="2"/>
    </font>
    <font>
      <b/>
      <sz val="11"/>
      <color theme="1"/>
      <name val="Arial"/>
      <family val="2"/>
    </font>
    <font>
      <b/>
      <u/>
      <sz val="11"/>
      <color theme="1"/>
      <name val="Arial"/>
      <family val="2"/>
    </font>
    <font>
      <b/>
      <sz val="14"/>
      <color theme="1"/>
      <name val="Arial"/>
      <family val="2"/>
    </font>
    <font>
      <sz val="12"/>
      <color theme="1"/>
      <name val="Arial"/>
      <family val="2"/>
    </font>
    <font>
      <b/>
      <sz val="12"/>
      <color theme="1"/>
      <name val="Arial"/>
      <family val="2"/>
    </font>
    <font>
      <sz val="9"/>
      <color theme="1"/>
      <name val="Arial"/>
      <family val="2"/>
    </font>
    <font>
      <u/>
      <sz val="9"/>
      <name val="Arial"/>
      <family val="2"/>
    </font>
    <font>
      <b/>
      <u/>
      <sz val="11"/>
      <name val="Arial"/>
      <family val="2"/>
    </font>
    <font>
      <u/>
      <sz val="11"/>
      <name val="Arial"/>
      <family val="2"/>
    </font>
    <font>
      <b/>
      <sz val="12"/>
      <color rgb="FFFF0000"/>
      <name val="Arial"/>
      <family val="2"/>
    </font>
    <font>
      <b/>
      <u/>
      <sz val="14"/>
      <color theme="1"/>
      <name val="Arial"/>
      <family val="2"/>
    </font>
    <font>
      <sz val="11"/>
      <color rgb="FF000000"/>
      <name val="Arial"/>
      <family val="2"/>
    </font>
    <font>
      <u/>
      <sz val="10"/>
      <name val="Arial"/>
      <family val="2"/>
    </font>
  </fonts>
  <fills count="15">
    <fill>
      <patternFill patternType="none"/>
    </fill>
    <fill>
      <patternFill patternType="gray125"/>
    </fill>
    <fill>
      <patternFill patternType="solid">
        <fgColor rgb="FFFFC00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C0C0C0"/>
        <bgColor indexed="64"/>
      </patternFill>
    </fill>
    <fill>
      <patternFill patternType="solid">
        <fgColor theme="9" tint="0.39997558519241921"/>
        <bgColor indexed="64"/>
      </patternFill>
    </fill>
    <fill>
      <patternFill patternType="solid">
        <fgColor theme="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4" tint="0.39997558519241921"/>
      </left>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ck">
        <color theme="0"/>
      </left>
      <right style="thick">
        <color theme="0"/>
      </right>
      <top style="thin">
        <color theme="0"/>
      </top>
      <bottom style="thick">
        <color theme="0"/>
      </bottom>
      <diagonal/>
    </border>
    <border>
      <left style="thick">
        <color theme="0"/>
      </left>
      <right/>
      <top/>
      <bottom/>
      <diagonal/>
    </border>
    <border>
      <left style="thick">
        <color theme="0"/>
      </left>
      <right style="thick">
        <color theme="0"/>
      </right>
      <top/>
      <bottom/>
      <diagonal/>
    </border>
    <border>
      <left/>
      <right style="thick">
        <color theme="0"/>
      </right>
      <top style="thin">
        <color theme="0"/>
      </top>
      <bottom style="thick">
        <color theme="0"/>
      </bottom>
      <diagonal/>
    </border>
    <border>
      <left/>
      <right style="thick">
        <color theme="0"/>
      </right>
      <top/>
      <bottom style="thick">
        <color theme="0"/>
      </bottom>
      <diagonal/>
    </border>
    <border>
      <left style="thick">
        <color theme="0"/>
      </left>
      <right/>
      <top style="thin">
        <color theme="0"/>
      </top>
      <bottom style="thick">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theme="0"/>
      </left>
      <right style="thick">
        <color theme="0"/>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diagonal/>
    </border>
  </borders>
  <cellStyleXfs count="18">
    <xf numFmtId="0" fontId="0" fillId="0" borderId="0"/>
    <xf numFmtId="166"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8" fillId="0" borderId="0"/>
    <xf numFmtId="9" fontId="8" fillId="0" borderId="0" applyFont="0" applyFill="0" applyBorder="0" applyAlignment="0" applyProtection="0"/>
    <xf numFmtId="0" fontId="7" fillId="0" borderId="0"/>
    <xf numFmtId="0" fontId="10" fillId="0" borderId="0"/>
    <xf numFmtId="0" fontId="27" fillId="0" borderId="0" applyNumberForma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165" fontId="24" fillId="0" borderId="0" applyFont="0" applyFill="0" applyBorder="0" applyAlignment="0" applyProtection="0"/>
    <xf numFmtId="9" fontId="7" fillId="0" borderId="0" applyFont="0" applyFill="0" applyBorder="0" applyAlignment="0" applyProtection="0"/>
    <xf numFmtId="0" fontId="5" fillId="0" borderId="0"/>
    <xf numFmtId="0" fontId="5" fillId="0" borderId="0"/>
    <xf numFmtId="0" fontId="1" fillId="0" borderId="0"/>
    <xf numFmtId="9" fontId="1" fillId="0" borderId="0" applyFont="0" applyFill="0" applyBorder="0" applyAlignment="0" applyProtection="0"/>
  </cellStyleXfs>
  <cellXfs count="616">
    <xf numFmtId="0" fontId="0" fillId="0" borderId="0" xfId="0"/>
    <xf numFmtId="10" fontId="16" fillId="0" borderId="0" xfId="1" applyNumberFormat="1" applyFont="1" applyFill="1" applyBorder="1" applyAlignment="1" applyProtection="1">
      <alignment horizontal="right"/>
    </xf>
    <xf numFmtId="3" fontId="17" fillId="0" borderId="1" xfId="0" applyNumberFormat="1" applyFont="1" applyBorder="1"/>
    <xf numFmtId="2" fontId="17" fillId="0" borderId="1" xfId="0" applyNumberFormat="1" applyFont="1" applyBorder="1"/>
    <xf numFmtId="0" fontId="11" fillId="0" borderId="0" xfId="0" applyFont="1" applyAlignment="1">
      <alignment horizontal="left"/>
    </xf>
    <xf numFmtId="0" fontId="12" fillId="0" borderId="0" xfId="0" applyFont="1" applyAlignment="1">
      <alignment horizontal="left"/>
    </xf>
    <xf numFmtId="0" fontId="13" fillId="0" borderId="0" xfId="0" applyFont="1" applyAlignment="1">
      <alignment horizontal="center" vertical="center"/>
    </xf>
    <xf numFmtId="3" fontId="0" fillId="0" borderId="0" xfId="0" applyNumberFormat="1"/>
    <xf numFmtId="0" fontId="13" fillId="0" borderId="0" xfId="0" applyFont="1"/>
    <xf numFmtId="2" fontId="0" fillId="0" borderId="0" xfId="0" applyNumberFormat="1"/>
    <xf numFmtId="2" fontId="13" fillId="0" borderId="0" xfId="0" applyNumberFormat="1" applyFont="1" applyAlignment="1">
      <alignment horizontal="left"/>
    </xf>
    <xf numFmtId="0" fontId="16" fillId="0" borderId="0" xfId="0" applyFont="1" applyAlignment="1">
      <alignment horizontal="right"/>
    </xf>
    <xf numFmtId="0" fontId="16" fillId="0" borderId="0" xfId="0" applyFont="1" applyAlignment="1">
      <alignment horizontal="left"/>
    </xf>
    <xf numFmtId="3" fontId="16" fillId="0" borderId="0" xfId="1" applyNumberFormat="1" applyFont="1" applyBorder="1" applyAlignment="1" applyProtection="1">
      <alignment horizontal="right"/>
    </xf>
    <xf numFmtId="0" fontId="10" fillId="0" borderId="0" xfId="0" applyFont="1"/>
    <xf numFmtId="0" fontId="14" fillId="0" borderId="0" xfId="0" applyFont="1"/>
    <xf numFmtId="0" fontId="17" fillId="0" borderId="0" xfId="0" applyFont="1" applyAlignment="1">
      <alignment horizontal="center" vertical="top" wrapText="1"/>
    </xf>
    <xf numFmtId="0" fontId="0" fillId="0" borderId="0" xfId="0" applyAlignment="1">
      <alignment horizontal="right"/>
    </xf>
    <xf numFmtId="0" fontId="0" fillId="0" borderId="0" xfId="0" applyAlignment="1">
      <alignment horizontal="left" vertical="center" wrapText="1"/>
    </xf>
    <xf numFmtId="0" fontId="17" fillId="0" borderId="0" xfId="0" applyFont="1"/>
    <xf numFmtId="0" fontId="0" fillId="0" borderId="0" xfId="0" applyAlignment="1">
      <alignment horizontal="left" vertical="top" wrapText="1"/>
    </xf>
    <xf numFmtId="0" fontId="17" fillId="0" borderId="0" xfId="0" applyFont="1" applyAlignment="1">
      <alignment horizontal="right"/>
    </xf>
    <xf numFmtId="3" fontId="16" fillId="0" borderId="0" xfId="1" applyNumberFormat="1" applyFont="1" applyBorder="1" applyAlignment="1" applyProtection="1">
      <alignment horizontal="left"/>
    </xf>
    <xf numFmtId="0" fontId="17" fillId="0" borderId="0" xfId="0" applyFont="1" applyAlignment="1">
      <alignment horizontal="left"/>
    </xf>
    <xf numFmtId="0" fontId="16" fillId="0" borderId="0" xfId="0" applyFont="1" applyAlignment="1">
      <alignment horizontal="center"/>
    </xf>
    <xf numFmtId="0" fontId="13" fillId="0" borderId="0" xfId="0" applyFont="1" applyAlignment="1">
      <alignment vertical="center" wrapText="1"/>
    </xf>
    <xf numFmtId="0" fontId="17" fillId="0" borderId="0" xfId="0" applyFont="1" applyAlignment="1">
      <alignment horizontal="center" wrapText="1"/>
    </xf>
    <xf numFmtId="0" fontId="17" fillId="0" borderId="0" xfId="0" applyFont="1" applyAlignment="1">
      <alignment horizontal="center"/>
    </xf>
    <xf numFmtId="0" fontId="16" fillId="0" borderId="8" xfId="0" applyFont="1" applyBorder="1"/>
    <xf numFmtId="10" fontId="17" fillId="0" borderId="0" xfId="0" applyNumberFormat="1" applyFont="1"/>
    <xf numFmtId="3" fontId="17" fillId="0" borderId="0" xfId="0" applyNumberFormat="1" applyFont="1"/>
    <xf numFmtId="1" fontId="17" fillId="0" borderId="0" xfId="0" applyNumberFormat="1" applyFont="1"/>
    <xf numFmtId="0" fontId="18" fillId="0" borderId="0" xfId="0" applyFont="1" applyAlignment="1">
      <alignment horizontal="right"/>
    </xf>
    <xf numFmtId="2" fontId="17" fillId="0" borderId="0" xfId="0" applyNumberFormat="1" applyFont="1"/>
    <xf numFmtId="168" fontId="17" fillId="0" borderId="0" xfId="0" applyNumberFormat="1" applyFont="1"/>
    <xf numFmtId="2" fontId="16" fillId="0" borderId="1" xfId="0" applyNumberFormat="1" applyFont="1" applyBorder="1"/>
    <xf numFmtId="2" fontId="16" fillId="0" borderId="0" xfId="0" applyNumberFormat="1" applyFont="1"/>
    <xf numFmtId="3" fontId="16" fillId="0" borderId="1" xfId="0" applyNumberFormat="1" applyFont="1" applyBorder="1"/>
    <xf numFmtId="44" fontId="13" fillId="0" borderId="0" xfId="0" applyNumberFormat="1" applyFont="1" applyAlignment="1">
      <alignment horizontal="center" vertical="center"/>
    </xf>
    <xf numFmtId="0" fontId="16" fillId="0" borderId="0" xfId="0" applyFont="1"/>
    <xf numFmtId="3" fontId="18" fillId="0" borderId="0" xfId="0" applyNumberFormat="1" applyFont="1" applyAlignment="1">
      <alignment horizontal="right"/>
    </xf>
    <xf numFmtId="10" fontId="18" fillId="0" borderId="0" xfId="3" applyNumberFormat="1" applyFont="1" applyFill="1" applyBorder="1" applyAlignment="1" applyProtection="1">
      <alignment vertical="center"/>
    </xf>
    <xf numFmtId="0" fontId="17" fillId="0" borderId="29" xfId="0" applyFont="1" applyBorder="1"/>
    <xf numFmtId="3" fontId="16" fillId="0" borderId="0" xfId="0" applyNumberFormat="1" applyFont="1" applyAlignment="1">
      <alignment wrapText="1"/>
    </xf>
    <xf numFmtId="2" fontId="15" fillId="0" borderId="1" xfId="0" applyNumberFormat="1" applyFont="1" applyBorder="1" applyAlignment="1">
      <alignment vertical="center"/>
    </xf>
    <xf numFmtId="3" fontId="15" fillId="0" borderId="1" xfId="0" applyNumberFormat="1" applyFont="1" applyBorder="1" applyAlignment="1">
      <alignment vertical="center"/>
    </xf>
    <xf numFmtId="3" fontId="15" fillId="0" borderId="0" xfId="0" applyNumberFormat="1" applyFont="1" applyAlignment="1">
      <alignment vertical="center"/>
    </xf>
    <xf numFmtId="0" fontId="13" fillId="0" borderId="0" xfId="0" applyFont="1" applyAlignment="1">
      <alignment horizontal="center"/>
    </xf>
    <xf numFmtId="2" fontId="13" fillId="0" borderId="0" xfId="0" applyNumberFormat="1" applyFont="1"/>
    <xf numFmtId="0" fontId="20" fillId="0" borderId="0" xfId="0" applyFont="1"/>
    <xf numFmtId="10" fontId="17" fillId="0" borderId="0" xfId="3" applyNumberFormat="1" applyFont="1" applyFill="1" applyBorder="1" applyProtection="1"/>
    <xf numFmtId="0" fontId="18" fillId="0" borderId="0" xfId="0" applyFont="1"/>
    <xf numFmtId="2" fontId="18" fillId="0" borderId="0" xfId="0" applyNumberFormat="1" applyFont="1"/>
    <xf numFmtId="10" fontId="18" fillId="0" borderId="0" xfId="0" applyNumberFormat="1" applyFont="1" applyAlignment="1">
      <alignment horizontal="center" vertical="center"/>
    </xf>
    <xf numFmtId="0" fontId="18" fillId="0" borderId="0" xfId="0" applyFont="1" applyAlignment="1">
      <alignment horizontal="right" vertical="center"/>
    </xf>
    <xf numFmtId="0" fontId="22" fillId="0" borderId="0" xfId="0" applyFont="1" applyAlignment="1">
      <alignment horizontal="right" vertical="center"/>
    </xf>
    <xf numFmtId="44" fontId="18" fillId="0" borderId="0" xfId="2" applyFont="1" applyBorder="1" applyAlignment="1" applyProtection="1">
      <alignment horizontal="center" vertical="center"/>
    </xf>
    <xf numFmtId="0" fontId="18" fillId="0" borderId="0" xfId="0" applyFont="1" applyAlignment="1">
      <alignment horizontal="center" vertical="center"/>
    </xf>
    <xf numFmtId="10" fontId="16" fillId="0" borderId="0" xfId="0" applyNumberFormat="1" applyFont="1" applyAlignment="1">
      <alignment horizontal="center" vertical="center"/>
    </xf>
    <xf numFmtId="10" fontId="18" fillId="0" borderId="0" xfId="3" applyNumberFormat="1" applyFont="1" applyFill="1" applyBorder="1" applyAlignment="1" applyProtection="1">
      <alignment horizontal="right"/>
    </xf>
    <xf numFmtId="3" fontId="17" fillId="0" borderId="0" xfId="3" applyNumberFormat="1" applyFont="1" applyFill="1" applyBorder="1" applyProtection="1"/>
    <xf numFmtId="0" fontId="18" fillId="0" borderId="0" xfId="0" applyFont="1" applyAlignment="1">
      <alignment horizontal="center"/>
    </xf>
    <xf numFmtId="9" fontId="13" fillId="0" borderId="0" xfId="0" applyNumberFormat="1" applyFont="1" applyAlignment="1">
      <alignment vertical="center"/>
    </xf>
    <xf numFmtId="0" fontId="17" fillId="0" borderId="0" xfId="0" applyFont="1" applyAlignment="1">
      <alignment horizontal="left" vertical="center"/>
    </xf>
    <xf numFmtId="44" fontId="18" fillId="0" borderId="0" xfId="0" applyNumberFormat="1" applyFont="1" applyAlignment="1">
      <alignment horizontal="center" vertical="center"/>
    </xf>
    <xf numFmtId="10" fontId="18" fillId="0" borderId="0" xfId="3" applyNumberFormat="1" applyFont="1" applyFill="1" applyBorder="1" applyAlignment="1" applyProtection="1">
      <alignment horizontal="left"/>
    </xf>
    <xf numFmtId="10" fontId="18" fillId="0" borderId="0" xfId="3" applyNumberFormat="1" applyFont="1" applyFill="1" applyBorder="1" applyAlignment="1" applyProtection="1">
      <alignment horizontal="left" vertical="center"/>
    </xf>
    <xf numFmtId="167" fontId="16" fillId="0" borderId="0" xfId="0" applyNumberFormat="1" applyFont="1"/>
    <xf numFmtId="10" fontId="16" fillId="0" borderId="0" xfId="0" applyNumberFormat="1" applyFont="1" applyAlignment="1">
      <alignment horizontal="right"/>
    </xf>
    <xf numFmtId="10" fontId="9" fillId="0" borderId="0" xfId="3" applyNumberFormat="1" applyFont="1" applyFill="1" applyBorder="1" applyProtection="1"/>
    <xf numFmtId="3" fontId="16" fillId="0" borderId="0" xfId="1" applyNumberFormat="1" applyFont="1" applyFill="1" applyBorder="1" applyAlignment="1" applyProtection="1">
      <alignment horizontal="left"/>
    </xf>
    <xf numFmtId="0" fontId="24" fillId="0" borderId="0" xfId="9" applyAlignment="1">
      <alignment vertical="center"/>
    </xf>
    <xf numFmtId="0" fontId="24" fillId="0" borderId="0" xfId="9" applyAlignment="1">
      <alignment vertical="center" wrapText="1"/>
    </xf>
    <xf numFmtId="0" fontId="30" fillId="0" borderId="0" xfId="9" applyFont="1" applyAlignment="1">
      <alignment horizontal="center" vertical="center" wrapText="1"/>
    </xf>
    <xf numFmtId="0" fontId="24" fillId="0" borderId="0" xfId="9"/>
    <xf numFmtId="167" fontId="7" fillId="0" borderId="1" xfId="11" applyNumberFormat="1" applyFont="1" applyFill="1" applyBorder="1" applyAlignment="1">
      <alignment vertical="center"/>
    </xf>
    <xf numFmtId="0" fontId="16" fillId="0" borderId="28" xfId="0" applyFont="1" applyBorder="1"/>
    <xf numFmtId="0" fontId="24" fillId="0" borderId="0" xfId="9" applyAlignment="1">
      <alignment horizontal="right" vertical="center"/>
    </xf>
    <xf numFmtId="167" fontId="24" fillId="0" borderId="0" xfId="9" applyNumberFormat="1" applyAlignment="1">
      <alignment vertical="center"/>
    </xf>
    <xf numFmtId="167" fontId="32" fillId="0" borderId="0" xfId="9" applyNumberFormat="1" applyFont="1" applyAlignment="1">
      <alignment vertical="center"/>
    </xf>
    <xf numFmtId="0" fontId="21" fillId="0" borderId="0" xfId="9" applyFont="1" applyAlignment="1">
      <alignment horizontal="center" vertical="center" wrapText="1"/>
    </xf>
    <xf numFmtId="0" fontId="24" fillId="0" borderId="0" xfId="9" applyAlignment="1">
      <alignment wrapText="1"/>
    </xf>
    <xf numFmtId="44" fontId="24" fillId="0" borderId="0" xfId="9" applyNumberFormat="1"/>
    <xf numFmtId="0" fontId="24" fillId="0" borderId="1" xfId="9" applyBorder="1" applyAlignment="1">
      <alignment vertical="center" wrapText="1"/>
    </xf>
    <xf numFmtId="167" fontId="7" fillId="0" borderId="1" xfId="11" applyNumberFormat="1" applyFont="1" applyFill="1" applyBorder="1" applyAlignment="1" applyProtection="1">
      <alignment vertical="center"/>
    </xf>
    <xf numFmtId="0" fontId="24" fillId="0" borderId="46" xfId="9" applyBorder="1" applyAlignment="1">
      <alignment vertical="center"/>
    </xf>
    <xf numFmtId="0" fontId="24" fillId="0" borderId="47" xfId="9" applyBorder="1"/>
    <xf numFmtId="0" fontId="31" fillId="0" borderId="47" xfId="9" applyFont="1" applyBorder="1"/>
    <xf numFmtId="165" fontId="0" fillId="0" borderId="1" xfId="12" applyFont="1" applyFill="1" applyBorder="1" applyAlignment="1" applyProtection="1">
      <alignment vertical="center"/>
    </xf>
    <xf numFmtId="0" fontId="24" fillId="0" borderId="1" xfId="6" applyFont="1" applyBorder="1" applyAlignment="1">
      <alignment horizontal="left" vertical="top" wrapText="1"/>
    </xf>
    <xf numFmtId="0" fontId="24" fillId="0" borderId="1" xfId="6" applyFont="1" applyBorder="1" applyAlignment="1">
      <alignment vertical="top" wrapText="1"/>
    </xf>
    <xf numFmtId="0" fontId="24" fillId="0" borderId="0" xfId="6" applyFont="1" applyAlignment="1">
      <alignment vertical="top" wrapText="1"/>
    </xf>
    <xf numFmtId="4" fontId="24" fillId="0" borderId="0" xfId="9" applyNumberFormat="1" applyAlignment="1">
      <alignment vertical="center"/>
    </xf>
    <xf numFmtId="165" fontId="0" fillId="0" borderId="43" xfId="12" applyFont="1" applyFill="1" applyBorder="1" applyAlignment="1">
      <alignment vertical="center"/>
    </xf>
    <xf numFmtId="3" fontId="24" fillId="0" borderId="0" xfId="9" applyNumberFormat="1" applyAlignment="1">
      <alignment horizontal="left" vertical="center"/>
    </xf>
    <xf numFmtId="165" fontId="0" fillId="0" borderId="43" xfId="12" applyFont="1" applyFill="1" applyBorder="1" applyAlignment="1">
      <alignment horizontal="left" vertical="center"/>
    </xf>
    <xf numFmtId="0" fontId="24" fillId="0" borderId="9" xfId="9" applyBorder="1" applyAlignment="1">
      <alignment vertical="center"/>
    </xf>
    <xf numFmtId="3" fontId="24" fillId="0" borderId="0" xfId="9" applyNumberFormat="1" applyAlignment="1">
      <alignment vertical="center"/>
    </xf>
    <xf numFmtId="0" fontId="24" fillId="0" borderId="3" xfId="9" applyBorder="1" applyAlignment="1">
      <alignment vertical="center" wrapText="1"/>
    </xf>
    <xf numFmtId="167" fontId="7" fillId="0" borderId="3" xfId="11" applyNumberFormat="1" applyFont="1" applyFill="1" applyBorder="1" applyAlignment="1" applyProtection="1">
      <alignment vertical="center"/>
    </xf>
    <xf numFmtId="0" fontId="32" fillId="0" borderId="30" xfId="9" applyFont="1" applyBorder="1" applyAlignment="1">
      <alignment vertical="center" wrapText="1"/>
    </xf>
    <xf numFmtId="167" fontId="32" fillId="0" borderId="31" xfId="9" applyNumberFormat="1" applyFont="1" applyBorder="1" applyAlignment="1">
      <alignment vertical="center"/>
    </xf>
    <xf numFmtId="167" fontId="32" fillId="0" borderId="32" xfId="9" applyNumberFormat="1" applyFont="1" applyBorder="1" applyAlignment="1">
      <alignment vertical="center"/>
    </xf>
    <xf numFmtId="167" fontId="7" fillId="0" borderId="9" xfId="11" applyNumberFormat="1" applyFont="1" applyFill="1" applyBorder="1" applyAlignment="1" applyProtection="1">
      <alignment vertical="center"/>
    </xf>
    <xf numFmtId="0" fontId="32" fillId="0" borderId="31" xfId="9" applyFont="1" applyBorder="1" applyAlignment="1">
      <alignment vertical="center"/>
    </xf>
    <xf numFmtId="0" fontId="32" fillId="0" borderId="31" xfId="9" applyFont="1" applyBorder="1" applyAlignment="1">
      <alignment vertical="center" wrapText="1"/>
    </xf>
    <xf numFmtId="0" fontId="24" fillId="0" borderId="9" xfId="9" applyBorder="1" applyAlignment="1">
      <alignment vertical="center" wrapText="1"/>
    </xf>
    <xf numFmtId="0" fontId="24" fillId="0" borderId="31" xfId="9" applyBorder="1" applyAlignment="1">
      <alignment vertical="center" wrapText="1"/>
    </xf>
    <xf numFmtId="10" fontId="0" fillId="0" borderId="36" xfId="12" applyNumberFormat="1" applyFont="1" applyFill="1" applyBorder="1" applyAlignment="1" applyProtection="1">
      <alignment horizontal="center" vertical="center"/>
    </xf>
    <xf numFmtId="0" fontId="24" fillId="0" borderId="9" xfId="6" applyFont="1" applyBorder="1" applyAlignment="1">
      <alignment horizontal="left" vertical="top" wrapText="1"/>
    </xf>
    <xf numFmtId="0" fontId="32" fillId="0" borderId="31" xfId="9" applyFont="1" applyBorder="1" applyAlignment="1">
      <alignment horizontal="left" vertical="center"/>
    </xf>
    <xf numFmtId="0" fontId="24" fillId="0" borderId="35" xfId="6" applyFont="1" applyBorder="1" applyAlignment="1">
      <alignment horizontal="left" vertical="top" wrapText="1"/>
    </xf>
    <xf numFmtId="0" fontId="24" fillId="0" borderId="31" xfId="6" applyFont="1" applyBorder="1" applyAlignment="1">
      <alignment horizontal="center" vertical="center"/>
    </xf>
    <xf numFmtId="0" fontId="24" fillId="0" borderId="37" xfId="6" applyFont="1" applyBorder="1" applyAlignment="1">
      <alignment horizontal="left" vertical="top" wrapText="1"/>
    </xf>
    <xf numFmtId="0" fontId="24" fillId="0" borderId="37" xfId="6" applyFont="1" applyBorder="1" applyAlignment="1">
      <alignment vertical="top" wrapText="1"/>
    </xf>
    <xf numFmtId="0" fontId="32" fillId="0" borderId="0" xfId="9" applyFont="1" applyAlignment="1">
      <alignment vertical="center"/>
    </xf>
    <xf numFmtId="10" fontId="0" fillId="0" borderId="48" xfId="12" applyNumberFormat="1" applyFont="1" applyFill="1" applyBorder="1" applyAlignment="1">
      <alignment horizontal="left" vertical="center"/>
    </xf>
    <xf numFmtId="167" fontId="32" fillId="0" borderId="45" xfId="9" applyNumberFormat="1" applyFont="1" applyBorder="1" applyAlignment="1">
      <alignment vertical="center"/>
    </xf>
    <xf numFmtId="167" fontId="7" fillId="0" borderId="3" xfId="11" applyNumberFormat="1" applyFont="1" applyFill="1" applyBorder="1" applyAlignment="1">
      <alignment vertical="center"/>
    </xf>
    <xf numFmtId="10" fontId="32" fillId="0" borderId="0" xfId="3" applyNumberFormat="1" applyFont="1" applyAlignment="1" applyProtection="1">
      <alignment vertical="center"/>
    </xf>
    <xf numFmtId="167" fontId="24" fillId="0" borderId="9" xfId="13" applyNumberFormat="1" applyFont="1" applyFill="1" applyBorder="1" applyAlignment="1">
      <alignment horizontal="center" vertical="center"/>
    </xf>
    <xf numFmtId="167" fontId="24" fillId="0" borderId="1" xfId="13" applyNumberFormat="1" applyFont="1" applyFill="1" applyBorder="1" applyAlignment="1">
      <alignment horizontal="center" vertical="center"/>
    </xf>
    <xf numFmtId="167" fontId="24" fillId="0" borderId="3" xfId="13" applyNumberFormat="1" applyFont="1" applyFill="1" applyBorder="1" applyAlignment="1">
      <alignment vertical="center"/>
    </xf>
    <xf numFmtId="9" fontId="24" fillId="0" borderId="1" xfId="13" applyFont="1" applyFill="1" applyBorder="1" applyAlignment="1">
      <alignment horizontal="center" vertical="center"/>
    </xf>
    <xf numFmtId="1" fontId="24" fillId="0" borderId="0" xfId="9" applyNumberFormat="1" applyAlignment="1">
      <alignment wrapText="1"/>
    </xf>
    <xf numFmtId="10" fontId="24" fillId="0" borderId="0" xfId="3" applyNumberFormat="1" applyFont="1" applyProtection="1"/>
    <xf numFmtId="4" fontId="24" fillId="0" borderId="1" xfId="9" applyNumberFormat="1" applyBorder="1" applyAlignment="1">
      <alignment horizontal="center" vertical="center"/>
    </xf>
    <xf numFmtId="10" fontId="19" fillId="0" borderId="0" xfId="3" applyNumberFormat="1" applyFont="1" applyFill="1" applyBorder="1" applyAlignment="1" applyProtection="1">
      <alignment horizontal="center" vertical="center"/>
    </xf>
    <xf numFmtId="10" fontId="22" fillId="0" borderId="0" xfId="3" applyNumberFormat="1" applyFont="1" applyBorder="1" applyAlignment="1" applyProtection="1">
      <alignment horizontal="center" vertical="center"/>
    </xf>
    <xf numFmtId="44" fontId="10" fillId="0" borderId="0" xfId="2" applyFont="1" applyFill="1" applyBorder="1" applyAlignment="1" applyProtection="1">
      <alignment horizontal="center" vertical="center"/>
    </xf>
    <xf numFmtId="44" fontId="29" fillId="0" borderId="0" xfId="2" applyFont="1" applyFill="1" applyBorder="1" applyAlignment="1" applyProtection="1">
      <alignment horizontal="center" vertical="center"/>
    </xf>
    <xf numFmtId="0" fontId="24" fillId="0" borderId="1" xfId="9" applyBorder="1" applyAlignment="1">
      <alignment vertical="center"/>
    </xf>
    <xf numFmtId="0" fontId="29" fillId="0" borderId="0" xfId="0" applyFont="1"/>
    <xf numFmtId="0" fontId="24" fillId="0" borderId="0" xfId="9" applyAlignment="1">
      <alignment horizontal="right"/>
    </xf>
    <xf numFmtId="4" fontId="24" fillId="0" borderId="0" xfId="9" applyNumberFormat="1" applyAlignment="1">
      <alignment horizontal="left"/>
    </xf>
    <xf numFmtId="0" fontId="29" fillId="0" borderId="0" xfId="0" applyFont="1" applyAlignment="1" applyProtection="1">
      <alignment horizontal="center" vertical="center"/>
      <protection locked="0"/>
    </xf>
    <xf numFmtId="0" fontId="21" fillId="0" borderId="0" xfId="0" applyFont="1" applyAlignment="1" applyProtection="1">
      <alignment horizontal="center" vertical="center" wrapText="1"/>
      <protection locked="0"/>
    </xf>
    <xf numFmtId="0" fontId="32" fillId="0" borderId="0" xfId="0" applyFont="1" applyAlignment="1">
      <alignment horizontal="center" vertical="center" wrapText="1"/>
    </xf>
    <xf numFmtId="167" fontId="24" fillId="0" borderId="0" xfId="9" applyNumberFormat="1"/>
    <xf numFmtId="167" fontId="24" fillId="0" borderId="1" xfId="11" applyNumberFormat="1" applyFont="1" applyFill="1" applyBorder="1" applyAlignment="1" applyProtection="1">
      <alignment vertical="center"/>
    </xf>
    <xf numFmtId="167" fontId="29" fillId="0" borderId="0" xfId="0" applyNumberFormat="1" applyFont="1"/>
    <xf numFmtId="167" fontId="24" fillId="0" borderId="3" xfId="11" applyNumberFormat="1" applyFont="1" applyFill="1" applyBorder="1" applyAlignment="1" applyProtection="1">
      <alignment vertical="center"/>
    </xf>
    <xf numFmtId="167" fontId="29" fillId="0" borderId="0" xfId="0" applyNumberFormat="1" applyFont="1" applyProtection="1">
      <protection locked="0"/>
    </xf>
    <xf numFmtId="17" fontId="24" fillId="0" borderId="9" xfId="9" applyNumberFormat="1" applyBorder="1" applyAlignment="1">
      <alignment vertical="center" wrapText="1"/>
    </xf>
    <xf numFmtId="0" fontId="21" fillId="0" borderId="0" xfId="0" applyFont="1"/>
    <xf numFmtId="44" fontId="29" fillId="0" borderId="0" xfId="0" applyNumberFormat="1" applyFont="1"/>
    <xf numFmtId="171" fontId="29" fillId="0" borderId="0" xfId="0" applyNumberFormat="1" applyFont="1" applyAlignment="1">
      <alignment horizontal="left"/>
    </xf>
    <xf numFmtId="0" fontId="29" fillId="0" borderId="0" xfId="0" applyFont="1" applyAlignment="1">
      <alignment horizontal="center" vertical="center"/>
    </xf>
    <xf numFmtId="170" fontId="29" fillId="0" borderId="0" xfId="0" applyNumberFormat="1" applyFont="1"/>
    <xf numFmtId="0" fontId="29" fillId="0" borderId="0" xfId="0" applyFont="1" applyAlignment="1">
      <alignment horizontal="center"/>
    </xf>
    <xf numFmtId="172" fontId="29" fillId="0" borderId="0" xfId="0" applyNumberFormat="1" applyFont="1" applyAlignment="1">
      <alignment horizontal="left"/>
    </xf>
    <xf numFmtId="0" fontId="24" fillId="0" borderId="3" xfId="6" applyFont="1" applyBorder="1" applyAlignment="1">
      <alignment vertical="center" wrapText="1"/>
    </xf>
    <xf numFmtId="0" fontId="24" fillId="0" borderId="1" xfId="6" applyFont="1" applyBorder="1" applyAlignment="1">
      <alignment horizontal="left" vertical="center" wrapText="1"/>
    </xf>
    <xf numFmtId="174" fontId="29" fillId="0" borderId="0" xfId="0" applyNumberFormat="1" applyFont="1"/>
    <xf numFmtId="0" fontId="29" fillId="0" borderId="0" xfId="0" applyFont="1" applyAlignment="1">
      <alignment horizontal="right"/>
    </xf>
    <xf numFmtId="0" fontId="29" fillId="0" borderId="0" xfId="0" applyFont="1" applyAlignment="1">
      <alignment wrapText="1"/>
    </xf>
    <xf numFmtId="0" fontId="29" fillId="0" borderId="0" xfId="0" applyFont="1" applyAlignment="1">
      <alignment horizontal="center" wrapText="1"/>
    </xf>
    <xf numFmtId="167" fontId="21" fillId="0" borderId="0" xfId="0" applyNumberFormat="1" applyFont="1"/>
    <xf numFmtId="167" fontId="24" fillId="0" borderId="1" xfId="9" applyNumberFormat="1" applyBorder="1"/>
    <xf numFmtId="174" fontId="0" fillId="0" borderId="0" xfId="0" applyNumberFormat="1"/>
    <xf numFmtId="167" fontId="5" fillId="0" borderId="0" xfId="9" applyNumberFormat="1" applyFont="1" applyAlignment="1">
      <alignment vertical="center"/>
    </xf>
    <xf numFmtId="0" fontId="5" fillId="0" borderId="0" xfId="9" applyFont="1" applyAlignment="1">
      <alignment vertical="center"/>
    </xf>
    <xf numFmtId="174" fontId="5" fillId="0" borderId="0" xfId="9" applyNumberFormat="1" applyFont="1" applyAlignment="1">
      <alignment vertical="center"/>
    </xf>
    <xf numFmtId="167" fontId="5" fillId="0" borderId="0" xfId="9" applyNumberFormat="1" applyFont="1"/>
    <xf numFmtId="0" fontId="5" fillId="0" borderId="0" xfId="9" applyFont="1"/>
    <xf numFmtId="0" fontId="5" fillId="0" borderId="0" xfId="9" applyFont="1" applyAlignment="1">
      <alignment horizontal="right"/>
    </xf>
    <xf numFmtId="0" fontId="0" fillId="0" borderId="0" xfId="0" applyAlignment="1">
      <alignment horizontal="center"/>
    </xf>
    <xf numFmtId="174" fontId="0" fillId="0" borderId="0" xfId="0" applyNumberFormat="1" applyAlignment="1">
      <alignment horizontal="center"/>
    </xf>
    <xf numFmtId="0" fontId="5" fillId="0" borderId="0" xfId="9" applyFont="1" applyAlignment="1">
      <alignment wrapText="1"/>
    </xf>
    <xf numFmtId="0" fontId="5" fillId="0" borderId="0" xfId="9" applyFont="1" applyAlignment="1">
      <alignment horizontal="right" vertical="center"/>
    </xf>
    <xf numFmtId="0" fontId="32" fillId="0" borderId="1" xfId="0" applyFont="1" applyBorder="1" applyAlignment="1">
      <alignment horizontal="center" vertical="center" wrapText="1"/>
    </xf>
    <xf numFmtId="3" fontId="19" fillId="0" borderId="0" xfId="0" applyNumberFormat="1" applyFont="1" applyAlignment="1">
      <alignment horizontal="right"/>
    </xf>
    <xf numFmtId="173" fontId="16" fillId="9" borderId="27" xfId="0" applyNumberFormat="1" applyFont="1" applyFill="1" applyBorder="1"/>
    <xf numFmtId="44" fontId="13" fillId="9" borderId="20" xfId="2" applyFont="1" applyFill="1" applyBorder="1" applyAlignment="1" applyProtection="1">
      <alignment horizontal="center" vertical="center"/>
    </xf>
    <xf numFmtId="169" fontId="18" fillId="9" borderId="21" xfId="0" applyNumberFormat="1" applyFont="1" applyFill="1" applyBorder="1" applyAlignment="1">
      <alignment horizontal="center" vertical="center"/>
    </xf>
    <xf numFmtId="44" fontId="13" fillId="9" borderId="21" xfId="2" applyFont="1" applyFill="1" applyBorder="1" applyAlignment="1" applyProtection="1">
      <alignment horizontal="center" vertical="center"/>
    </xf>
    <xf numFmtId="10" fontId="18" fillId="9" borderId="27" xfId="0" applyNumberFormat="1" applyFont="1" applyFill="1" applyBorder="1" applyAlignment="1">
      <alignment horizontal="center" vertical="center"/>
    </xf>
    <xf numFmtId="44" fontId="13" fillId="9" borderId="27" xfId="2" applyFont="1" applyFill="1" applyBorder="1" applyAlignment="1" applyProtection="1">
      <alignment horizontal="center" vertical="center"/>
    </xf>
    <xf numFmtId="44" fontId="13" fillId="9" borderId="31" xfId="0" applyNumberFormat="1" applyFont="1" applyFill="1" applyBorder="1" applyAlignment="1">
      <alignment horizontal="center" vertical="center"/>
    </xf>
    <xf numFmtId="10" fontId="18" fillId="9" borderId="20" xfId="0" applyNumberFormat="1" applyFont="1" applyFill="1" applyBorder="1" applyAlignment="1">
      <alignment horizontal="center" vertical="center"/>
    </xf>
    <xf numFmtId="10" fontId="18" fillId="9" borderId="21" xfId="0" applyNumberFormat="1" applyFont="1" applyFill="1" applyBorder="1" applyAlignment="1">
      <alignment horizontal="center" vertical="center"/>
    </xf>
    <xf numFmtId="169" fontId="18" fillId="9" borderId="27" xfId="0" applyNumberFormat="1" applyFont="1" applyFill="1" applyBorder="1" applyAlignment="1">
      <alignment horizontal="center" vertical="center"/>
    </xf>
    <xf numFmtId="44" fontId="13" fillId="9" borderId="31" xfId="0" applyNumberFormat="1" applyFont="1" applyFill="1" applyBorder="1" applyAlignment="1">
      <alignment vertical="center"/>
    </xf>
    <xf numFmtId="10" fontId="18" fillId="3" borderId="22" xfId="0" applyNumberFormat="1" applyFont="1" applyFill="1" applyBorder="1" applyAlignment="1">
      <alignment horizontal="center" vertical="center"/>
    </xf>
    <xf numFmtId="169" fontId="18" fillId="3" borderId="27" xfId="0" applyNumberFormat="1" applyFont="1" applyFill="1" applyBorder="1" applyAlignment="1">
      <alignment horizontal="center" vertical="center"/>
    </xf>
    <xf numFmtId="44" fontId="13" fillId="3" borderId="31" xfId="0" applyNumberFormat="1" applyFont="1" applyFill="1" applyBorder="1" applyAlignment="1">
      <alignment horizontal="center" vertical="center"/>
    </xf>
    <xf numFmtId="169" fontId="18" fillId="10" borderId="31" xfId="0" applyNumberFormat="1" applyFont="1" applyFill="1" applyBorder="1" applyAlignment="1">
      <alignment horizontal="center" vertical="center"/>
    </xf>
    <xf numFmtId="44" fontId="13" fillId="10" borderId="19" xfId="2" applyFont="1" applyFill="1" applyBorder="1" applyAlignment="1" applyProtection="1">
      <alignment horizontal="center" vertical="center"/>
    </xf>
    <xf numFmtId="10" fontId="18" fillId="10" borderId="21" xfId="0" applyNumberFormat="1" applyFont="1" applyFill="1" applyBorder="1" applyAlignment="1">
      <alignment horizontal="center" vertical="center"/>
    </xf>
    <xf numFmtId="44" fontId="13" fillId="10" borderId="22" xfId="2" applyFont="1" applyFill="1" applyBorder="1" applyAlignment="1" applyProtection="1">
      <alignment horizontal="center" vertical="center"/>
    </xf>
    <xf numFmtId="44" fontId="13" fillId="10" borderId="31" xfId="0" applyNumberFormat="1" applyFont="1" applyFill="1" applyBorder="1" applyAlignment="1">
      <alignment horizontal="center" vertical="center"/>
    </xf>
    <xf numFmtId="0" fontId="19" fillId="0" borderId="0" xfId="0" applyFont="1" applyAlignment="1">
      <alignment horizontal="right" vertical="center"/>
    </xf>
    <xf numFmtId="10" fontId="7" fillId="4" borderId="44" xfId="10" applyNumberFormat="1" applyFont="1" applyFill="1" applyBorder="1" applyAlignment="1" applyProtection="1">
      <alignment horizontal="center" vertical="center"/>
    </xf>
    <xf numFmtId="0" fontId="32" fillId="0" borderId="31" xfId="9" applyFont="1" applyBorder="1" applyAlignment="1">
      <alignment horizontal="center" vertical="center" wrapText="1"/>
    </xf>
    <xf numFmtId="10" fontId="7" fillId="4" borderId="45" xfId="10" applyNumberFormat="1" applyFont="1" applyFill="1" applyBorder="1" applyAlignment="1">
      <alignment horizontal="center" vertical="center"/>
    </xf>
    <xf numFmtId="0" fontId="21" fillId="0" borderId="0" xfId="0" applyFont="1" applyAlignment="1">
      <alignment horizontal="right"/>
    </xf>
    <xf numFmtId="0" fontId="29" fillId="0" borderId="0" xfId="0" applyFont="1" applyAlignment="1">
      <alignment horizontal="left"/>
    </xf>
    <xf numFmtId="44" fontId="13" fillId="9" borderId="1" xfId="2" applyFont="1" applyFill="1" applyBorder="1" applyAlignment="1" applyProtection="1">
      <alignment horizontal="center" vertical="center"/>
    </xf>
    <xf numFmtId="3" fontId="16" fillId="0" borderId="0" xfId="0" applyNumberFormat="1" applyFont="1"/>
    <xf numFmtId="0" fontId="29" fillId="0" borderId="0" xfId="0" applyFont="1" applyAlignment="1">
      <alignment horizontal="left" wrapText="1"/>
    </xf>
    <xf numFmtId="0" fontId="37" fillId="0" borderId="0" xfId="0" applyFont="1" applyAlignment="1">
      <alignment horizontal="center" vertical="center" wrapText="1"/>
    </xf>
    <xf numFmtId="44" fontId="0" fillId="0" borderId="0" xfId="2" applyFont="1"/>
    <xf numFmtId="44" fontId="0" fillId="0" borderId="1" xfId="2" applyFont="1" applyBorder="1"/>
    <xf numFmtId="167" fontId="21" fillId="0" borderId="0" xfId="0" applyNumberFormat="1" applyFont="1" applyAlignment="1">
      <alignment vertical="center"/>
    </xf>
    <xf numFmtId="174" fontId="29" fillId="0" borderId="0" xfId="0" applyNumberFormat="1" applyFont="1" applyProtection="1">
      <protection locked="0"/>
    </xf>
    <xf numFmtId="0" fontId="0" fillId="0" borderId="1" xfId="0" applyBorder="1"/>
    <xf numFmtId="167" fontId="21" fillId="0" borderId="0" xfId="0" applyNumberFormat="1" applyFont="1" applyProtection="1">
      <protection locked="0"/>
    </xf>
    <xf numFmtId="167" fontId="32" fillId="0" borderId="0" xfId="9" applyNumberFormat="1" applyFont="1" applyAlignment="1">
      <alignment vertical="top"/>
    </xf>
    <xf numFmtId="167" fontId="24" fillId="0" borderId="29" xfId="9" applyNumberFormat="1" applyBorder="1" applyAlignment="1">
      <alignment vertical="center"/>
    </xf>
    <xf numFmtId="0" fontId="32" fillId="0" borderId="0" xfId="9" applyFont="1" applyAlignment="1">
      <alignment vertical="top" wrapText="1"/>
    </xf>
    <xf numFmtId="10" fontId="16" fillId="11" borderId="0" xfId="3" applyNumberFormat="1" applyFont="1" applyFill="1" applyBorder="1" applyAlignment="1" applyProtection="1">
      <alignment horizontal="left"/>
      <protection locked="0"/>
    </xf>
    <xf numFmtId="168" fontId="17" fillId="11" borderId="1" xfId="0" applyNumberFormat="1" applyFont="1" applyFill="1" applyBorder="1" applyProtection="1">
      <protection locked="0"/>
    </xf>
    <xf numFmtId="0" fontId="29" fillId="11" borderId="1" xfId="0" applyFont="1" applyFill="1" applyBorder="1" applyAlignment="1" applyProtection="1">
      <alignment horizontal="center" vertical="center" wrapText="1"/>
      <protection locked="0" hidden="1"/>
    </xf>
    <xf numFmtId="167" fontId="21" fillId="11" borderId="0" xfId="0" applyNumberFormat="1" applyFont="1" applyFill="1" applyAlignment="1" applyProtection="1">
      <alignment vertical="center"/>
      <protection locked="0" hidden="1"/>
    </xf>
    <xf numFmtId="167" fontId="32" fillId="0" borderId="1" xfId="9" applyNumberFormat="1" applyFont="1" applyBorder="1"/>
    <xf numFmtId="0" fontId="32" fillId="0" borderId="1" xfId="9" applyFont="1" applyBorder="1"/>
    <xf numFmtId="175" fontId="32" fillId="0" borderId="31" xfId="9" applyNumberFormat="1" applyFont="1" applyBorder="1" applyAlignment="1">
      <alignment vertical="center"/>
    </xf>
    <xf numFmtId="164" fontId="32" fillId="0" borderId="31" xfId="9" applyNumberFormat="1" applyFont="1" applyBorder="1" applyAlignment="1">
      <alignment vertical="center"/>
    </xf>
    <xf numFmtId="175" fontId="32" fillId="0" borderId="45" xfId="9" applyNumberFormat="1" applyFont="1" applyBorder="1" applyAlignment="1">
      <alignment vertical="center"/>
    </xf>
    <xf numFmtId="0" fontId="34" fillId="7" borderId="0" xfId="9" applyFont="1" applyFill="1" applyAlignment="1">
      <alignment horizontal="center" vertical="center" wrapText="1"/>
    </xf>
    <xf numFmtId="0" fontId="3" fillId="0" borderId="30" xfId="9" applyFont="1" applyBorder="1" applyAlignment="1">
      <alignment horizontal="center" vertical="center"/>
    </xf>
    <xf numFmtId="1" fontId="7" fillId="0" borderId="57" xfId="10" applyNumberFormat="1" applyFont="1" applyFill="1" applyBorder="1" applyAlignment="1" applyProtection="1">
      <alignment horizontal="center" vertical="center"/>
    </xf>
    <xf numFmtId="0" fontId="24" fillId="0" borderId="33" xfId="9" applyBorder="1"/>
    <xf numFmtId="0" fontId="24" fillId="0" borderId="32" xfId="9" applyBorder="1"/>
    <xf numFmtId="0" fontId="34" fillId="7" borderId="32" xfId="9" applyFont="1" applyFill="1" applyBorder="1" applyAlignment="1">
      <alignment vertical="center" wrapText="1"/>
    </xf>
    <xf numFmtId="0" fontId="3" fillId="7" borderId="33" xfId="9" applyFont="1" applyFill="1" applyBorder="1" applyAlignment="1">
      <alignment horizontal="right" vertical="center" wrapText="1"/>
    </xf>
    <xf numFmtId="1" fontId="7" fillId="7" borderId="57" xfId="10" applyNumberFormat="1" applyFont="1" applyFill="1" applyBorder="1" applyAlignment="1">
      <alignment horizontal="left" vertical="center"/>
    </xf>
    <xf numFmtId="175" fontId="29" fillId="0" borderId="0" xfId="0" applyNumberFormat="1" applyFont="1"/>
    <xf numFmtId="42" fontId="29" fillId="0" borderId="0" xfId="0" applyNumberFormat="1" applyFont="1"/>
    <xf numFmtId="0" fontId="1" fillId="0" borderId="0" xfId="16"/>
    <xf numFmtId="0" fontId="9" fillId="0" borderId="0" xfId="16" applyFont="1"/>
    <xf numFmtId="167" fontId="1" fillId="0" borderId="0" xfId="16" applyNumberFormat="1"/>
    <xf numFmtId="10" fontId="16" fillId="11" borderId="0" xfId="0" applyNumberFormat="1" applyFont="1" applyFill="1" applyAlignment="1" applyProtection="1">
      <alignment horizontal="right"/>
      <protection locked="0"/>
    </xf>
    <xf numFmtId="10" fontId="16" fillId="5" borderId="0" xfId="1" applyNumberFormat="1" applyFont="1" applyFill="1" applyBorder="1" applyAlignment="1" applyProtection="1">
      <alignment horizontal="right"/>
    </xf>
    <xf numFmtId="0" fontId="1" fillId="0" borderId="39" xfId="0" applyFont="1" applyBorder="1" applyAlignment="1">
      <alignment horizontal="left"/>
    </xf>
    <xf numFmtId="0" fontId="1" fillId="0" borderId="0" xfId="0" applyFont="1" applyAlignment="1">
      <alignment horizontal="left"/>
    </xf>
    <xf numFmtId="1" fontId="16" fillId="11" borderId="1" xfId="0" applyNumberFormat="1" applyFont="1" applyFill="1" applyBorder="1" applyAlignment="1" applyProtection="1">
      <alignment horizontal="left"/>
      <protection locked="0"/>
    </xf>
    <xf numFmtId="3" fontId="17" fillId="11" borderId="1" xfId="0" applyNumberFormat="1" applyFont="1" applyFill="1" applyBorder="1" applyProtection="1">
      <protection locked="0"/>
    </xf>
    <xf numFmtId="44" fontId="13" fillId="3" borderId="1" xfId="0" applyNumberFormat="1" applyFont="1" applyFill="1" applyBorder="1" applyAlignment="1">
      <alignment horizontal="center" vertical="center"/>
    </xf>
    <xf numFmtId="9" fontId="13" fillId="5" borderId="30" xfId="0" applyNumberFormat="1" applyFont="1" applyFill="1" applyBorder="1" applyAlignment="1">
      <alignment vertical="center"/>
    </xf>
    <xf numFmtId="9" fontId="13" fillId="5" borderId="33" xfId="0" applyNumberFormat="1" applyFont="1" applyFill="1" applyBorder="1" applyAlignment="1">
      <alignment vertical="center"/>
    </xf>
    <xf numFmtId="9" fontId="13" fillId="5" borderId="14" xfId="0" applyNumberFormat="1" applyFont="1" applyFill="1" applyBorder="1" applyAlignment="1">
      <alignment vertical="center"/>
    </xf>
    <xf numFmtId="44" fontId="13" fillId="9" borderId="62" xfId="2" applyFont="1" applyFill="1" applyBorder="1" applyAlignment="1" applyProtection="1">
      <alignment horizontal="center" vertical="center"/>
    </xf>
    <xf numFmtId="10" fontId="18" fillId="3" borderId="1" xfId="0" applyNumberFormat="1" applyFont="1" applyFill="1" applyBorder="1" applyAlignment="1">
      <alignment horizontal="center" vertical="center"/>
    </xf>
    <xf numFmtId="44" fontId="13" fillId="3" borderId="1" xfId="2" applyFont="1" applyFill="1" applyBorder="1" applyAlignment="1" applyProtection="1">
      <alignment horizontal="center" vertical="center"/>
    </xf>
    <xf numFmtId="10" fontId="18" fillId="10" borderId="22" xfId="0" applyNumberFormat="1" applyFont="1" applyFill="1" applyBorder="1" applyAlignment="1">
      <alignment horizontal="center" vertical="center"/>
    </xf>
    <xf numFmtId="44" fontId="13" fillId="10" borderId="15" xfId="2" applyFont="1" applyFill="1" applyBorder="1" applyAlignment="1" applyProtection="1">
      <alignment horizontal="center" vertical="center"/>
    </xf>
    <xf numFmtId="44" fontId="13" fillId="9" borderId="15" xfId="2" applyFont="1" applyFill="1" applyBorder="1" applyAlignment="1" applyProtection="1">
      <alignment horizontal="center" vertical="center"/>
    </xf>
    <xf numFmtId="44" fontId="13" fillId="10" borderId="1" xfId="0" applyNumberFormat="1" applyFont="1" applyFill="1" applyBorder="1" applyAlignment="1">
      <alignment horizontal="center" vertical="center"/>
    </xf>
    <xf numFmtId="169" fontId="18" fillId="9" borderId="31" xfId="0" applyNumberFormat="1" applyFont="1" applyFill="1" applyBorder="1" applyAlignment="1">
      <alignment horizontal="center" vertical="center"/>
    </xf>
    <xf numFmtId="44" fontId="13" fillId="9" borderId="31" xfId="2" applyFont="1" applyFill="1" applyBorder="1" applyAlignment="1" applyProtection="1">
      <alignment horizontal="center" vertical="center"/>
    </xf>
    <xf numFmtId="10" fontId="18" fillId="5" borderId="0" xfId="0" applyNumberFormat="1" applyFont="1" applyFill="1" applyAlignment="1">
      <alignment horizontal="center" vertical="center"/>
    </xf>
    <xf numFmtId="44" fontId="13" fillId="5" borderId="0" xfId="2" applyFont="1" applyFill="1" applyBorder="1" applyAlignment="1" applyProtection="1">
      <alignment horizontal="center" vertical="center"/>
    </xf>
    <xf numFmtId="9" fontId="13" fillId="5" borderId="0" xfId="0" applyNumberFormat="1" applyFont="1" applyFill="1" applyAlignment="1">
      <alignment horizontal="center" vertical="center"/>
    </xf>
    <xf numFmtId="44" fontId="13" fillId="5" borderId="0" xfId="0" applyNumberFormat="1" applyFont="1" applyFill="1" applyAlignment="1">
      <alignment horizontal="center" vertical="center"/>
    </xf>
    <xf numFmtId="10" fontId="18" fillId="9" borderId="15" xfId="0" applyNumberFormat="1" applyFont="1" applyFill="1" applyBorder="1" applyAlignment="1">
      <alignment horizontal="center" vertical="center"/>
    </xf>
    <xf numFmtId="10" fontId="18" fillId="3" borderId="19" xfId="0" applyNumberFormat="1" applyFont="1" applyFill="1" applyBorder="1" applyAlignment="1">
      <alignment horizontal="center" vertical="center"/>
    </xf>
    <xf numFmtId="0" fontId="17" fillId="0" borderId="51" xfId="0" applyFont="1" applyBorder="1"/>
    <xf numFmtId="0" fontId="17" fillId="0" borderId="34" xfId="0" applyFont="1" applyBorder="1"/>
    <xf numFmtId="0" fontId="17" fillId="0" borderId="36" xfId="0" applyFont="1" applyBorder="1"/>
    <xf numFmtId="0" fontId="17" fillId="0" borderId="38" xfId="0" applyFont="1" applyBorder="1"/>
    <xf numFmtId="44" fontId="13" fillId="0" borderId="50" xfId="0" applyNumberFormat="1" applyFont="1" applyBorder="1" applyAlignment="1">
      <alignment vertical="center"/>
    </xf>
    <xf numFmtId="44" fontId="13" fillId="3" borderId="31" xfId="0" applyNumberFormat="1" applyFont="1" applyFill="1" applyBorder="1" applyAlignment="1">
      <alignment vertical="center"/>
    </xf>
    <xf numFmtId="44" fontId="0" fillId="0" borderId="0" xfId="0" applyNumberFormat="1" applyAlignment="1">
      <alignment horizontal="center" vertical="center"/>
    </xf>
    <xf numFmtId="4" fontId="13" fillId="0" borderId="0" xfId="0" applyNumberFormat="1" applyFont="1" applyAlignment="1">
      <alignment vertical="center"/>
    </xf>
    <xf numFmtId="4" fontId="18" fillId="0" borderId="0" xfId="0" applyNumberFormat="1" applyFont="1" applyAlignment="1">
      <alignment horizontal="center" vertical="center"/>
    </xf>
    <xf numFmtId="0" fontId="19" fillId="0" borderId="36" xfId="0" applyFont="1" applyBorder="1"/>
    <xf numFmtId="0" fontId="19" fillId="0" borderId="38" xfId="0" applyFont="1" applyBorder="1"/>
    <xf numFmtId="4" fontId="16" fillId="0" borderId="1" xfId="3" applyNumberFormat="1" applyFont="1" applyFill="1" applyBorder="1" applyProtection="1"/>
    <xf numFmtId="169" fontId="17" fillId="0" borderId="0" xfId="3" applyNumberFormat="1" applyFont="1" applyFill="1" applyBorder="1" applyProtection="1"/>
    <xf numFmtId="44" fontId="17" fillId="0" borderId="0" xfId="2" applyFont="1" applyFill="1" applyBorder="1" applyAlignment="1" applyProtection="1">
      <alignment vertical="center"/>
    </xf>
    <xf numFmtId="44" fontId="19" fillId="0" borderId="0" xfId="2" applyFont="1" applyFill="1" applyBorder="1" applyAlignment="1" applyProtection="1">
      <alignment horizontal="right" vertical="center"/>
    </xf>
    <xf numFmtId="44" fontId="22" fillId="0" borderId="0" xfId="3" applyNumberFormat="1" applyFont="1" applyAlignment="1" applyProtection="1">
      <alignment horizontal="center" vertical="center"/>
    </xf>
    <xf numFmtId="2" fontId="10" fillId="0" borderId="0" xfId="0" applyNumberFormat="1" applyFont="1"/>
    <xf numFmtId="44" fontId="17" fillId="0" borderId="0" xfId="2" applyFont="1" applyProtection="1"/>
    <xf numFmtId="0" fontId="13" fillId="0" borderId="7" xfId="0" applyFont="1" applyBorder="1" applyAlignment="1">
      <alignment horizontal="center" vertical="center"/>
    </xf>
    <xf numFmtId="0" fontId="17" fillId="0" borderId="1" xfId="0" applyFont="1" applyBorder="1" applyAlignment="1">
      <alignment horizontal="left"/>
    </xf>
    <xf numFmtId="0" fontId="24" fillId="0" borderId="0" xfId="6" applyFont="1"/>
    <xf numFmtId="0" fontId="25" fillId="0" borderId="0" xfId="7" applyFont="1" applyAlignment="1">
      <alignment horizontal="centerContinuous"/>
    </xf>
    <xf numFmtId="0" fontId="10" fillId="0" borderId="0" xfId="7" applyAlignment="1">
      <alignment horizontal="centerContinuous"/>
    </xf>
    <xf numFmtId="0" fontId="26" fillId="0" borderId="0" xfId="7" applyFont="1"/>
    <xf numFmtId="0" fontId="26" fillId="0" borderId="0" xfId="7" applyFont="1" applyAlignment="1">
      <alignment horizontal="left"/>
    </xf>
    <xf numFmtId="0" fontId="10" fillId="0" borderId="0" xfId="7"/>
    <xf numFmtId="0" fontId="26" fillId="0" borderId="0" xfId="7" applyFont="1" applyAlignment="1">
      <alignment horizontal="right"/>
    </xf>
    <xf numFmtId="49" fontId="28" fillId="5" borderId="0" xfId="8" applyNumberFormat="1" applyFont="1" applyFill="1" applyBorder="1" applyAlignment="1" applyProtection="1">
      <alignment horizontal="left"/>
    </xf>
    <xf numFmtId="49" fontId="26" fillId="0" borderId="0" xfId="7" quotePrefix="1" applyNumberFormat="1" applyFont="1" applyAlignment="1">
      <alignment horizontal="center"/>
    </xf>
    <xf numFmtId="0" fontId="29" fillId="0" borderId="0" xfId="7" applyFont="1"/>
    <xf numFmtId="49" fontId="26" fillId="0" borderId="0" xfId="7" applyNumberFormat="1" applyFont="1"/>
    <xf numFmtId="1" fontId="26" fillId="0" borderId="0" xfId="7" applyNumberFormat="1" applyFont="1"/>
    <xf numFmtId="49" fontId="28" fillId="0" borderId="0" xfId="8" applyNumberFormat="1" applyFont="1" applyFill="1" applyBorder="1" applyAlignment="1" applyProtection="1">
      <alignment horizontal="left"/>
    </xf>
    <xf numFmtId="0" fontId="25" fillId="0" borderId="0" xfId="7" applyFont="1" applyAlignment="1">
      <alignment horizontal="center"/>
    </xf>
    <xf numFmtId="0" fontId="35" fillId="0" borderId="0" xfId="6" applyFont="1"/>
    <xf numFmtId="0" fontId="36" fillId="0" borderId="0" xfId="6" applyFont="1" applyAlignment="1">
      <alignment vertical="center"/>
    </xf>
    <xf numFmtId="0" fontId="35" fillId="0" borderId="0" xfId="6" applyFont="1" applyAlignment="1">
      <alignment horizontal="right"/>
    </xf>
    <xf numFmtId="0" fontId="35" fillId="0" borderId="0" xfId="6" applyFont="1" applyAlignment="1">
      <alignment horizontal="left"/>
    </xf>
    <xf numFmtId="1" fontId="15" fillId="0" borderId="1" xfId="7" applyNumberFormat="1" applyFont="1" applyBorder="1" applyAlignment="1">
      <alignment horizontal="center" vertical="center" wrapText="1"/>
    </xf>
    <xf numFmtId="4" fontId="24" fillId="0" borderId="0" xfId="6" applyNumberFormat="1" applyFont="1"/>
    <xf numFmtId="0" fontId="4" fillId="5" borderId="0" xfId="6" applyFont="1" applyFill="1"/>
    <xf numFmtId="0" fontId="24" fillId="0" borderId="0" xfId="6" applyFont="1" applyAlignment="1">
      <alignment horizontal="center"/>
    </xf>
    <xf numFmtId="0" fontId="24" fillId="5" borderId="0" xfId="6" applyFont="1" applyFill="1"/>
    <xf numFmtId="0" fontId="26" fillId="0" borderId="0" xfId="7" applyFont="1" applyAlignment="1">
      <alignment horizontal="right" vertical="top"/>
    </xf>
    <xf numFmtId="0" fontId="15" fillId="0" borderId="3" xfId="7" applyFont="1" applyBorder="1" applyAlignment="1">
      <alignment horizontal="center"/>
    </xf>
    <xf numFmtId="0" fontId="36" fillId="0" borderId="9" xfId="6" applyFont="1" applyBorder="1" applyAlignment="1">
      <alignment horizontal="center" vertical="center"/>
    </xf>
    <xf numFmtId="0" fontId="35" fillId="0" borderId="0" xfId="6" applyFont="1" applyAlignment="1">
      <alignment horizontal="center" vertical="center"/>
    </xf>
    <xf numFmtId="1" fontId="15" fillId="0" borderId="0" xfId="7" applyNumberFormat="1" applyFont="1" applyAlignment="1">
      <alignment vertical="center" wrapText="1"/>
    </xf>
    <xf numFmtId="0" fontId="36" fillId="0" borderId="0" xfId="6" applyFont="1" applyAlignment="1">
      <alignment horizontal="center" vertical="center"/>
    </xf>
    <xf numFmtId="49" fontId="15" fillId="0" borderId="0" xfId="7" applyNumberFormat="1" applyFont="1" applyAlignment="1">
      <alignment horizontal="center" vertical="center" wrapText="1"/>
    </xf>
    <xf numFmtId="1" fontId="15" fillId="0" borderId="0" xfId="7" applyNumberFormat="1" applyFont="1" applyAlignment="1">
      <alignment horizontal="center" vertical="center" wrapText="1"/>
    </xf>
    <xf numFmtId="3" fontId="35" fillId="0" borderId="0" xfId="6" applyNumberFormat="1" applyFont="1" applyAlignment="1">
      <alignment horizontal="center"/>
    </xf>
    <xf numFmtId="170" fontId="35" fillId="0" borderId="1" xfId="6" applyNumberFormat="1" applyFont="1" applyBorder="1"/>
    <xf numFmtId="170" fontId="35" fillId="0" borderId="0" xfId="6" applyNumberFormat="1" applyFont="1"/>
    <xf numFmtId="0" fontId="31" fillId="0" borderId="0" xfId="6" applyFont="1"/>
    <xf numFmtId="10" fontId="35" fillId="6" borderId="0" xfId="3" applyNumberFormat="1" applyFont="1" applyFill="1" applyBorder="1" applyProtection="1"/>
    <xf numFmtId="170" fontId="6" fillId="0" borderId="0" xfId="6" applyNumberFormat="1" applyFont="1"/>
    <xf numFmtId="4" fontId="35" fillId="0" borderId="0" xfId="6" applyNumberFormat="1" applyFont="1"/>
    <xf numFmtId="4" fontId="6" fillId="0" borderId="0" xfId="6" applyNumberFormat="1" applyFont="1"/>
    <xf numFmtId="0" fontId="35" fillId="0" borderId="9" xfId="6" applyFont="1" applyBorder="1" applyAlignment="1">
      <alignment horizontal="left" vertical="top"/>
    </xf>
    <xf numFmtId="10" fontId="6" fillId="0" borderId="0" xfId="3" applyNumberFormat="1" applyFont="1" applyProtection="1"/>
    <xf numFmtId="0" fontId="6" fillId="0" borderId="0" xfId="6" applyFont="1"/>
    <xf numFmtId="0" fontId="6" fillId="0" borderId="0" xfId="6" applyFont="1" applyAlignment="1">
      <alignment wrapText="1"/>
    </xf>
    <xf numFmtId="0" fontId="36" fillId="0" borderId="3" xfId="6" applyFont="1" applyBorder="1" applyAlignment="1">
      <alignment horizontal="center" vertical="center"/>
    </xf>
    <xf numFmtId="10" fontId="35" fillId="0" borderId="0" xfId="3" applyNumberFormat="1" applyFont="1" applyFill="1" applyBorder="1" applyProtection="1"/>
    <xf numFmtId="170" fontId="35" fillId="0" borderId="3" xfId="6" applyNumberFormat="1" applyFont="1" applyBorder="1"/>
    <xf numFmtId="10" fontId="36" fillId="8" borderId="13" xfId="6" applyNumberFormat="1" applyFont="1" applyFill="1" applyBorder="1"/>
    <xf numFmtId="10" fontId="6" fillId="0" borderId="0" xfId="3" applyNumberFormat="1" applyFont="1" applyFill="1" applyBorder="1" applyAlignment="1" applyProtection="1"/>
    <xf numFmtId="10" fontId="35" fillId="0" borderId="0" xfId="6" applyNumberFormat="1" applyFont="1"/>
    <xf numFmtId="10" fontId="36" fillId="8" borderId="17" xfId="6" applyNumberFormat="1" applyFont="1" applyFill="1" applyBorder="1"/>
    <xf numFmtId="0" fontId="35" fillId="0" borderId="8" xfId="6" applyFont="1" applyBorder="1" applyAlignment="1">
      <alignment wrapText="1"/>
    </xf>
    <xf numFmtId="0" fontId="35" fillId="0" borderId="36" xfId="6" applyFont="1" applyBorder="1"/>
    <xf numFmtId="4" fontId="35" fillId="0" borderId="0" xfId="6" applyNumberFormat="1" applyFont="1" applyAlignment="1">
      <alignment wrapText="1"/>
    </xf>
    <xf numFmtId="0" fontId="35" fillId="0" borderId="36" xfId="6" applyFont="1" applyBorder="1" applyAlignment="1">
      <alignment vertical="center"/>
    </xf>
    <xf numFmtId="0" fontId="35" fillId="0" borderId="38" xfId="6" applyFont="1" applyBorder="1"/>
    <xf numFmtId="170" fontId="35" fillId="6" borderId="0" xfId="6" applyNumberFormat="1" applyFont="1" applyFill="1" applyAlignment="1">
      <alignment horizontal="right"/>
    </xf>
    <xf numFmtId="170" fontId="24" fillId="0" borderId="0" xfId="6" applyNumberFormat="1" applyFont="1"/>
    <xf numFmtId="0" fontId="35" fillId="0" borderId="28" xfId="6" applyFont="1" applyBorder="1" applyAlignment="1">
      <alignment vertical="center"/>
    </xf>
    <xf numFmtId="170" fontId="35" fillId="6" borderId="1" xfId="6" applyNumberFormat="1" applyFont="1" applyFill="1" applyBorder="1"/>
    <xf numFmtId="0" fontId="35" fillId="0" borderId="38" xfId="6" applyFont="1" applyBorder="1" applyAlignment="1">
      <alignment vertical="center"/>
    </xf>
    <xf numFmtId="49" fontId="29" fillId="0" borderId="0" xfId="7" applyNumberFormat="1" applyFont="1" applyAlignment="1">
      <alignment horizontal="center"/>
    </xf>
    <xf numFmtId="49" fontId="29" fillId="0" borderId="0" xfId="7" applyNumberFormat="1" applyFont="1"/>
    <xf numFmtId="0" fontId="26" fillId="0" borderId="0" xfId="7" applyFont="1" applyAlignment="1">
      <alignment horizontal="center" vertical="center"/>
    </xf>
    <xf numFmtId="0" fontId="29" fillId="0" borderId="0" xfId="7" applyFont="1" applyAlignment="1">
      <alignment horizontal="centerContinuous"/>
    </xf>
    <xf numFmtId="0" fontId="36" fillId="11" borderId="1" xfId="6" applyFont="1" applyFill="1" applyBorder="1" applyAlignment="1" applyProtection="1">
      <alignment horizontal="center" vertical="center"/>
      <protection locked="0"/>
    </xf>
    <xf numFmtId="1" fontId="15" fillId="11" borderId="1" xfId="7" applyNumberFormat="1" applyFont="1" applyFill="1" applyBorder="1" applyAlignment="1" applyProtection="1">
      <alignment horizontal="center" vertical="center" wrapText="1"/>
      <protection locked="0"/>
    </xf>
    <xf numFmtId="170" fontId="35" fillId="11" borderId="1" xfId="6" applyNumberFormat="1" applyFont="1" applyFill="1" applyBorder="1" applyProtection="1">
      <protection locked="0"/>
    </xf>
    <xf numFmtId="170" fontId="35" fillId="11" borderId="1" xfId="6" applyNumberFormat="1" applyFont="1" applyFill="1" applyBorder="1" applyAlignment="1" applyProtection="1">
      <alignment horizontal="right"/>
      <protection locked="0"/>
    </xf>
    <xf numFmtId="168" fontId="16" fillId="0" borderId="12" xfId="0" applyNumberFormat="1" applyFont="1" applyBorder="1" applyAlignment="1">
      <alignment vertical="center"/>
    </xf>
    <xf numFmtId="9" fontId="18" fillId="0" borderId="58" xfId="0" applyNumberFormat="1" applyFont="1" applyBorder="1" applyAlignment="1">
      <alignment horizontal="center" vertical="center"/>
    </xf>
    <xf numFmtId="44" fontId="17" fillId="0" borderId="13" xfId="2" applyFont="1" applyFill="1" applyBorder="1" applyAlignment="1" applyProtection="1">
      <alignment horizontal="center" vertical="center"/>
    </xf>
    <xf numFmtId="9" fontId="18" fillId="0" borderId="53" xfId="0" applyNumberFormat="1" applyFont="1" applyBorder="1" applyAlignment="1">
      <alignment horizontal="center" vertical="center"/>
    </xf>
    <xf numFmtId="9" fontId="0" fillId="0" borderId="53" xfId="0" applyNumberFormat="1" applyBorder="1" applyAlignment="1">
      <alignment horizontal="center" vertical="center"/>
    </xf>
    <xf numFmtId="168" fontId="16" fillId="0" borderId="59" xfId="0" applyNumberFormat="1" applyFont="1" applyBorder="1" applyAlignment="1">
      <alignment vertical="center"/>
    </xf>
    <xf numFmtId="9" fontId="18" fillId="0" borderId="1" xfId="0" applyNumberFormat="1" applyFont="1" applyBorder="1" applyAlignment="1">
      <alignment horizontal="center" vertical="center"/>
    </xf>
    <xf numFmtId="44" fontId="17" fillId="0" borderId="60" xfId="2" applyFont="1" applyFill="1" applyBorder="1" applyAlignment="1" applyProtection="1">
      <alignment horizontal="center" vertical="center"/>
    </xf>
    <xf numFmtId="9" fontId="18"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37" xfId="0" applyBorder="1" applyAlignment="1">
      <alignment vertical="center"/>
    </xf>
    <xf numFmtId="0" fontId="17" fillId="0" borderId="60" xfId="0" applyFont="1" applyBorder="1" applyAlignment="1">
      <alignment vertical="center"/>
    </xf>
    <xf numFmtId="168" fontId="17" fillId="0" borderId="16" xfId="0" applyNumberFormat="1" applyFont="1" applyBorder="1" applyAlignment="1">
      <alignment vertical="center"/>
    </xf>
    <xf numFmtId="9" fontId="18" fillId="0" borderId="61" xfId="0" applyNumberFormat="1" applyFont="1" applyBorder="1" applyAlignment="1">
      <alignment horizontal="center" vertical="center"/>
    </xf>
    <xf numFmtId="44" fontId="17" fillId="0" borderId="17" xfId="2" applyFont="1" applyFill="1" applyBorder="1" applyAlignment="1" applyProtection="1">
      <alignment horizontal="center" vertical="center"/>
    </xf>
    <xf numFmtId="9" fontId="18" fillId="0" borderId="54" xfId="0" applyNumberFormat="1" applyFont="1" applyBorder="1" applyAlignment="1">
      <alignment horizontal="center" vertical="center"/>
    </xf>
    <xf numFmtId="0" fontId="0" fillId="0" borderId="54" xfId="0" applyBorder="1" applyAlignment="1">
      <alignment vertical="center"/>
    </xf>
    <xf numFmtId="0" fontId="17" fillId="0" borderId="17" xfId="0" applyFont="1" applyBorder="1" applyAlignment="1">
      <alignment vertical="center"/>
    </xf>
    <xf numFmtId="49" fontId="29" fillId="11" borderId="40" xfId="7" applyNumberFormat="1" applyFont="1" applyFill="1" applyBorder="1" applyAlignment="1" applyProtection="1">
      <alignment vertical="center"/>
      <protection locked="0"/>
    </xf>
    <xf numFmtId="0" fontId="43" fillId="12" borderId="1" xfId="0" applyFont="1" applyFill="1" applyBorder="1" applyAlignment="1">
      <alignment vertical="center" wrapText="1"/>
    </xf>
    <xf numFmtId="176" fontId="21" fillId="0" borderId="1" xfId="0" applyNumberFormat="1" applyFont="1" applyBorder="1" applyAlignment="1">
      <alignment horizontal="right" vertical="center"/>
    </xf>
    <xf numFmtId="44" fontId="0" fillId="0" borderId="0" xfId="0" applyNumberFormat="1"/>
    <xf numFmtId="44" fontId="0" fillId="13" borderId="0" xfId="2" applyFont="1" applyFill="1"/>
    <xf numFmtId="44" fontId="0" fillId="13" borderId="0" xfId="0" applyNumberFormat="1" applyFill="1"/>
    <xf numFmtId="0" fontId="0" fillId="0" borderId="34" xfId="0" applyBorder="1"/>
    <xf numFmtId="0" fontId="0" fillId="0" borderId="52" xfId="0" applyBorder="1"/>
    <xf numFmtId="0" fontId="0" fillId="0" borderId="29" xfId="0" applyBorder="1"/>
    <xf numFmtId="0" fontId="0" fillId="0" borderId="64" xfId="0" applyBorder="1"/>
    <xf numFmtId="0" fontId="0" fillId="0" borderId="28" xfId="0" applyBorder="1"/>
    <xf numFmtId="0" fontId="0" fillId="0" borderId="8" xfId="0" applyBorder="1"/>
    <xf numFmtId="0" fontId="0" fillId="0" borderId="35" xfId="0" applyBorder="1"/>
    <xf numFmtId="0" fontId="13" fillId="0" borderId="51" xfId="0" applyFont="1" applyBorder="1"/>
    <xf numFmtId="44" fontId="0" fillId="0" borderId="1" xfId="2" applyFont="1" applyFill="1" applyBorder="1"/>
    <xf numFmtId="0" fontId="0" fillId="0" borderId="29" xfId="0" applyBorder="1" applyAlignment="1">
      <alignment horizontal="right"/>
    </xf>
    <xf numFmtId="0" fontId="5" fillId="0" borderId="29" xfId="9" applyFont="1" applyBorder="1" applyAlignment="1">
      <alignment horizontal="right" vertical="center"/>
    </xf>
    <xf numFmtId="0" fontId="2" fillId="0" borderId="37" xfId="6" applyFont="1" applyBorder="1" applyAlignment="1">
      <alignment horizontal="left" vertical="top" wrapText="1"/>
    </xf>
    <xf numFmtId="0" fontId="1" fillId="0" borderId="0" xfId="9" applyFont="1" applyAlignment="1">
      <alignment horizontal="right" vertical="center"/>
    </xf>
    <xf numFmtId="44" fontId="0" fillId="0" borderId="0" xfId="2" applyFont="1" applyFill="1" applyBorder="1"/>
    <xf numFmtId="0" fontId="0" fillId="0" borderId="0" xfId="0" applyAlignment="1">
      <alignment horizontal="left" vertical="center" indent="1"/>
    </xf>
    <xf numFmtId="0" fontId="13" fillId="0" borderId="0" xfId="0" applyFont="1" applyAlignment="1">
      <alignment vertical="center"/>
    </xf>
    <xf numFmtId="10" fontId="0" fillId="0" borderId="0" xfId="0" applyNumberFormat="1"/>
    <xf numFmtId="0" fontId="0" fillId="14" borderId="6" xfId="0" applyFill="1" applyBorder="1"/>
    <xf numFmtId="0" fontId="0" fillId="14" borderId="0" xfId="0" applyFill="1"/>
    <xf numFmtId="10" fontId="0" fillId="14" borderId="0" xfId="0" applyNumberFormat="1" applyFill="1"/>
    <xf numFmtId="0" fontId="0" fillId="14" borderId="7" xfId="0" applyFill="1" applyBorder="1"/>
    <xf numFmtId="44" fontId="0" fillId="14" borderId="0" xfId="2" applyFont="1" applyFill="1" applyBorder="1"/>
    <xf numFmtId="44" fontId="0" fillId="14" borderId="0" xfId="0" applyNumberFormat="1" applyFill="1"/>
    <xf numFmtId="0" fontId="0" fillId="14" borderId="10" xfId="0" applyFill="1" applyBorder="1"/>
    <xf numFmtId="44" fontId="0" fillId="14" borderId="18" xfId="0" applyNumberFormat="1" applyFill="1" applyBorder="1"/>
    <xf numFmtId="0" fontId="0" fillId="14" borderId="18" xfId="0" applyFill="1" applyBorder="1"/>
    <xf numFmtId="0" fontId="0" fillId="14" borderId="11" xfId="0" applyFill="1" applyBorder="1"/>
    <xf numFmtId="44" fontId="0" fillId="13" borderId="31" xfId="0" applyNumberFormat="1" applyFill="1" applyBorder="1"/>
    <xf numFmtId="10" fontId="0" fillId="0" borderId="0" xfId="12" applyNumberFormat="1" applyFont="1" applyFill="1" applyBorder="1" applyAlignment="1">
      <alignment horizontal="left" vertical="center"/>
    </xf>
    <xf numFmtId="165" fontId="0" fillId="0" borderId="0" xfId="12" applyFont="1" applyFill="1" applyBorder="1" applyAlignment="1">
      <alignment vertical="center"/>
    </xf>
    <xf numFmtId="0" fontId="24" fillId="0" borderId="0" xfId="9" applyProtection="1">
      <protection locked="0"/>
    </xf>
    <xf numFmtId="177" fontId="0" fillId="14" borderId="0" xfId="0" applyNumberFormat="1" applyFill="1"/>
    <xf numFmtId="0" fontId="31" fillId="0" borderId="0" xfId="9" applyFont="1" applyAlignment="1" applyProtection="1">
      <alignment vertical="center" wrapText="1"/>
      <protection locked="0"/>
    </xf>
    <xf numFmtId="0" fontId="31" fillId="0" borderId="0" xfId="9" applyFont="1" applyAlignment="1" applyProtection="1">
      <alignment vertical="center"/>
      <protection locked="0"/>
    </xf>
    <xf numFmtId="0" fontId="31" fillId="0" borderId="0" xfId="9" applyFont="1"/>
    <xf numFmtId="165" fontId="1" fillId="0" borderId="1" xfId="16" applyNumberFormat="1" applyBorder="1"/>
    <xf numFmtId="165" fontId="1" fillId="0" borderId="0" xfId="16" applyNumberFormat="1"/>
    <xf numFmtId="165" fontId="0" fillId="0" borderId="1" xfId="0" applyNumberFormat="1" applyBorder="1"/>
    <xf numFmtId="165" fontId="0" fillId="0" borderId="0" xfId="0" applyNumberFormat="1"/>
    <xf numFmtId="165" fontId="31" fillId="0" borderId="0" xfId="16" applyNumberFormat="1" applyFont="1"/>
    <xf numFmtId="165" fontId="17" fillId="0" borderId="0" xfId="0" applyNumberFormat="1" applyFont="1"/>
    <xf numFmtId="0" fontId="32" fillId="0" borderId="6" xfId="9" applyFont="1" applyBorder="1" applyAlignment="1">
      <alignment vertical="center" wrapText="1"/>
    </xf>
    <xf numFmtId="0" fontId="32" fillId="0" borderId="0" xfId="9" applyFont="1" applyAlignment="1">
      <alignment vertical="center" wrapText="1"/>
    </xf>
    <xf numFmtId="167" fontId="24" fillId="0" borderId="0" xfId="11" applyNumberFormat="1" applyFont="1" applyFill="1" applyBorder="1" applyAlignment="1" applyProtection="1">
      <alignment vertical="center"/>
    </xf>
    <xf numFmtId="167" fontId="32" fillId="0" borderId="0" xfId="11" applyNumberFormat="1" applyFont="1" applyFill="1" applyBorder="1" applyAlignment="1" applyProtection="1">
      <alignment vertical="center"/>
    </xf>
    <xf numFmtId="0" fontId="32" fillId="0" borderId="0" xfId="9" applyFont="1" applyAlignment="1">
      <alignment horizontal="left" vertical="center"/>
    </xf>
    <xf numFmtId="44" fontId="13" fillId="0" borderId="31" xfId="2" applyFont="1" applyBorder="1"/>
    <xf numFmtId="0" fontId="44" fillId="0" borderId="0" xfId="0" applyFont="1"/>
    <xf numFmtId="44" fontId="13" fillId="0" borderId="0" xfId="2" applyFont="1" applyFill="1" applyBorder="1" applyAlignment="1" applyProtection="1">
      <alignment horizontal="center" vertical="center"/>
    </xf>
    <xf numFmtId="0" fontId="29" fillId="0" borderId="0" xfId="0" applyFont="1" applyAlignment="1">
      <alignment vertical="center"/>
    </xf>
    <xf numFmtId="0" fontId="29" fillId="0" borderId="0" xfId="0" applyFont="1" applyAlignment="1">
      <alignment horizontal="left" vertical="center" indent="1"/>
    </xf>
    <xf numFmtId="0" fontId="29" fillId="0" borderId="0" xfId="0" applyFont="1" applyAlignment="1">
      <alignment vertical="center" wrapText="1"/>
    </xf>
    <xf numFmtId="0" fontId="29" fillId="0" borderId="0" xfId="0" applyFont="1" applyAlignment="1">
      <alignment horizontal="left" vertical="center" wrapText="1" indent="1"/>
    </xf>
    <xf numFmtId="0" fontId="15" fillId="0" borderId="0" xfId="0" applyFont="1" applyAlignment="1">
      <alignment horizontal="center"/>
    </xf>
    <xf numFmtId="44" fontId="29" fillId="0" borderId="0" xfId="0" applyNumberFormat="1" applyFont="1" applyAlignment="1">
      <alignment horizontal="right"/>
    </xf>
    <xf numFmtId="0" fontId="34" fillId="7" borderId="4" xfId="6" applyFont="1" applyFill="1" applyBorder="1" applyAlignment="1">
      <alignment horizontal="center" vertical="center" wrapText="1"/>
    </xf>
    <xf numFmtId="0" fontId="34" fillId="7" borderId="14" xfId="6" applyFont="1" applyFill="1" applyBorder="1" applyAlignment="1">
      <alignment horizontal="center" vertical="center" wrapText="1"/>
    </xf>
    <xf numFmtId="0" fontId="34" fillId="7" borderId="5" xfId="6" applyFont="1" applyFill="1" applyBorder="1" applyAlignment="1">
      <alignment horizontal="center" vertical="center" wrapText="1"/>
    </xf>
    <xf numFmtId="0" fontId="34" fillId="7" borderId="6" xfId="6" applyFont="1" applyFill="1" applyBorder="1" applyAlignment="1">
      <alignment horizontal="center" vertical="center" wrapText="1"/>
    </xf>
    <xf numFmtId="0" fontId="34" fillId="7" borderId="0" xfId="6" applyFont="1" applyFill="1" applyAlignment="1">
      <alignment horizontal="center" vertical="center" wrapText="1"/>
    </xf>
    <xf numFmtId="0" fontId="34" fillId="7" borderId="7" xfId="6" applyFont="1" applyFill="1" applyBorder="1" applyAlignment="1">
      <alignment horizontal="center" vertical="center" wrapText="1"/>
    </xf>
    <xf numFmtId="0" fontId="34" fillId="7" borderId="10" xfId="6" applyFont="1" applyFill="1" applyBorder="1" applyAlignment="1">
      <alignment horizontal="center" vertical="center" wrapText="1"/>
    </xf>
    <xf numFmtId="0" fontId="34" fillId="7" borderId="18" xfId="6" applyFont="1" applyFill="1" applyBorder="1" applyAlignment="1">
      <alignment horizontal="center" vertical="center" wrapText="1"/>
    </xf>
    <xf numFmtId="0" fontId="34" fillId="7" borderId="11" xfId="6" applyFont="1" applyFill="1" applyBorder="1" applyAlignment="1">
      <alignment horizontal="center" vertical="center" wrapText="1"/>
    </xf>
    <xf numFmtId="0" fontId="36" fillId="0" borderId="2" xfId="6" applyFont="1" applyBorder="1" applyAlignment="1">
      <alignment horizontal="center" vertical="center"/>
    </xf>
    <xf numFmtId="170" fontId="36" fillId="8" borderId="49" xfId="6" applyNumberFormat="1" applyFont="1" applyFill="1" applyBorder="1" applyAlignment="1">
      <alignment horizontal="center" vertical="top" wrapText="1"/>
    </xf>
    <xf numFmtId="170" fontId="36" fillId="8" borderId="50" xfId="6" applyNumberFormat="1" applyFont="1" applyFill="1" applyBorder="1" applyAlignment="1">
      <alignment horizontal="center" vertical="top" wrapText="1"/>
    </xf>
    <xf numFmtId="49" fontId="15" fillId="0" borderId="1" xfId="7" applyNumberFormat="1" applyFont="1" applyBorder="1" applyAlignment="1">
      <alignment horizontal="center" vertical="center" wrapText="1"/>
    </xf>
    <xf numFmtId="0" fontId="26" fillId="11" borderId="40" xfId="7" applyFont="1" applyFill="1" applyBorder="1" applyAlignment="1" applyProtection="1">
      <alignment horizontal="left"/>
      <protection locked="0"/>
    </xf>
    <xf numFmtId="49" fontId="26" fillId="11" borderId="41" xfId="7" applyNumberFormat="1" applyFont="1" applyFill="1" applyBorder="1" applyAlignment="1" applyProtection="1">
      <alignment horizontal="left"/>
      <protection locked="0"/>
    </xf>
    <xf numFmtId="49" fontId="26" fillId="11" borderId="40" xfId="7" applyNumberFormat="1" applyFont="1" applyFill="1" applyBorder="1" applyAlignment="1" applyProtection="1">
      <alignment horizontal="left"/>
      <protection locked="0"/>
    </xf>
    <xf numFmtId="0" fontId="26" fillId="11" borderId="41" xfId="0" applyFont="1" applyFill="1" applyBorder="1" applyAlignment="1" applyProtection="1">
      <alignment horizontal="left"/>
      <protection locked="0"/>
    </xf>
    <xf numFmtId="0" fontId="26" fillId="0" borderId="0" xfId="7" applyFont="1" applyAlignment="1">
      <alignment horizontal="left"/>
    </xf>
    <xf numFmtId="0" fontId="26" fillId="6" borderId="40" xfId="7" applyFont="1" applyFill="1" applyBorder="1" applyAlignment="1">
      <alignment horizontal="left"/>
    </xf>
    <xf numFmtId="49" fontId="28" fillId="11" borderId="41" xfId="8" applyNumberFormat="1" applyFont="1" applyFill="1" applyBorder="1" applyAlignment="1" applyProtection="1">
      <alignment horizontal="left"/>
      <protection locked="0"/>
    </xf>
    <xf numFmtId="0" fontId="10" fillId="0" borderId="42" xfId="7" applyBorder="1" applyAlignment="1">
      <alignment horizontal="center" vertical="center"/>
    </xf>
    <xf numFmtId="49" fontId="29" fillId="11" borderId="40" xfId="7" applyNumberFormat="1" applyFont="1" applyFill="1" applyBorder="1" applyAlignment="1" applyProtection="1">
      <alignment horizontal="center"/>
      <protection locked="0"/>
    </xf>
    <xf numFmtId="0" fontId="25" fillId="0" borderId="0" xfId="7" applyFont="1" applyAlignment="1">
      <alignment horizontal="center"/>
    </xf>
    <xf numFmtId="0" fontId="25" fillId="7" borderId="4" xfId="7" applyFont="1" applyFill="1" applyBorder="1" applyAlignment="1">
      <alignment horizontal="center"/>
    </xf>
    <xf numFmtId="0" fontId="25" fillId="7" borderId="14" xfId="7" applyFont="1" applyFill="1" applyBorder="1" applyAlignment="1">
      <alignment horizontal="center"/>
    </xf>
    <xf numFmtId="0" fontId="25" fillId="7" borderId="5" xfId="7" applyFont="1" applyFill="1" applyBorder="1" applyAlignment="1">
      <alignment horizontal="center"/>
    </xf>
    <xf numFmtId="0" fontId="25" fillId="7" borderId="6" xfId="7" applyFont="1" applyFill="1" applyBorder="1" applyAlignment="1">
      <alignment horizontal="center"/>
    </xf>
    <xf numFmtId="0" fontId="25" fillId="7" borderId="0" xfId="7" applyFont="1" applyFill="1" applyAlignment="1">
      <alignment horizontal="center"/>
    </xf>
    <xf numFmtId="0" fontId="25" fillId="7" borderId="7" xfId="7" applyFont="1" applyFill="1" applyBorder="1" applyAlignment="1">
      <alignment horizontal="center"/>
    </xf>
    <xf numFmtId="0" fontId="25" fillId="7" borderId="10" xfId="7" applyFont="1" applyFill="1" applyBorder="1" applyAlignment="1">
      <alignment horizontal="center"/>
    </xf>
    <xf numFmtId="0" fontId="25" fillId="7" borderId="18" xfId="7" applyFont="1" applyFill="1" applyBorder="1" applyAlignment="1">
      <alignment horizontal="center"/>
    </xf>
    <xf numFmtId="0" fontId="25" fillId="7" borderId="11" xfId="7" applyFont="1" applyFill="1" applyBorder="1" applyAlignment="1">
      <alignment horizontal="center"/>
    </xf>
    <xf numFmtId="0" fontId="36" fillId="0" borderId="36" xfId="6" applyFont="1" applyBorder="1" applyAlignment="1">
      <alignment horizontal="center" vertical="center"/>
    </xf>
    <xf numFmtId="0" fontId="36" fillId="0" borderId="38" xfId="6" applyFont="1" applyBorder="1" applyAlignment="1">
      <alignment horizontal="center" vertical="center"/>
    </xf>
    <xf numFmtId="0" fontId="36" fillId="0" borderId="37" xfId="6" applyFont="1" applyBorder="1" applyAlignment="1">
      <alignment horizontal="center" vertical="center"/>
    </xf>
    <xf numFmtId="0" fontId="26" fillId="11" borderId="40" xfId="0" applyFont="1" applyFill="1" applyBorder="1" applyAlignment="1" applyProtection="1">
      <alignment horizontal="left"/>
      <protection locked="0"/>
    </xf>
    <xf numFmtId="0" fontId="35" fillId="0" borderId="3" xfId="6" applyFont="1" applyBorder="1" applyAlignment="1">
      <alignment horizontal="left" wrapText="1"/>
    </xf>
    <xf numFmtId="0" fontId="35" fillId="0" borderId="2" xfId="6" applyFont="1" applyBorder="1" applyAlignment="1">
      <alignment horizontal="left" wrapText="1"/>
    </xf>
    <xf numFmtId="0" fontId="36" fillId="8" borderId="56" xfId="6" applyFont="1" applyFill="1" applyBorder="1" applyAlignment="1">
      <alignment horizontal="left" wrapText="1"/>
    </xf>
    <xf numFmtId="0" fontId="36" fillId="8" borderId="54" xfId="6" applyFont="1" applyFill="1" applyBorder="1" applyAlignment="1">
      <alignment horizontal="left" wrapText="1"/>
    </xf>
    <xf numFmtId="0" fontId="35" fillId="0" borderId="1" xfId="6" applyFont="1" applyBorder="1" applyAlignment="1">
      <alignment horizontal="left"/>
    </xf>
    <xf numFmtId="0" fontId="35" fillId="0" borderId="1" xfId="6" applyFont="1" applyBorder="1" applyAlignment="1">
      <alignment horizontal="left" wrapText="1"/>
    </xf>
    <xf numFmtId="0" fontId="35" fillId="0" borderId="36" xfId="6" applyFont="1" applyBorder="1" applyAlignment="1">
      <alignment horizontal="left" wrapText="1"/>
    </xf>
    <xf numFmtId="0" fontId="35" fillId="0" borderId="37" xfId="6" applyFont="1" applyBorder="1" applyAlignment="1">
      <alignment horizontal="left" wrapText="1"/>
    </xf>
    <xf numFmtId="0" fontId="35" fillId="0" borderId="51" xfId="6" applyFont="1" applyBorder="1" applyAlignment="1">
      <alignment horizontal="left" wrapText="1"/>
    </xf>
    <xf numFmtId="0" fontId="35" fillId="0" borderId="52" xfId="6" applyFont="1" applyBorder="1" applyAlignment="1">
      <alignment horizontal="left" wrapText="1"/>
    </xf>
    <xf numFmtId="0" fontId="36" fillId="8" borderId="55" xfId="6" applyFont="1" applyFill="1" applyBorder="1" applyAlignment="1">
      <alignment horizontal="left" wrapText="1"/>
    </xf>
    <xf numFmtId="0" fontId="36" fillId="8" borderId="53" xfId="6" applyFont="1" applyFill="1" applyBorder="1" applyAlignment="1">
      <alignment horizontal="left" wrapText="1"/>
    </xf>
    <xf numFmtId="9" fontId="13" fillId="5" borderId="51" xfId="0" applyNumberFormat="1" applyFont="1" applyFill="1" applyBorder="1" applyAlignment="1">
      <alignment horizontal="center" vertical="center"/>
    </xf>
    <xf numFmtId="9" fontId="13" fillId="5" borderId="24" xfId="0" applyNumberFormat="1" applyFont="1" applyFill="1" applyBorder="1" applyAlignment="1">
      <alignment horizontal="center" vertical="center"/>
    </xf>
    <xf numFmtId="9" fontId="13" fillId="5" borderId="29" xfId="0" applyNumberFormat="1" applyFont="1" applyFill="1" applyBorder="1" applyAlignment="1">
      <alignment horizontal="center" vertical="center"/>
    </xf>
    <xf numFmtId="9" fontId="13" fillId="5" borderId="7" xfId="0" applyNumberFormat="1" applyFont="1" applyFill="1" applyBorder="1" applyAlignment="1">
      <alignment horizontal="center" vertical="center"/>
    </xf>
    <xf numFmtId="9" fontId="13" fillId="5" borderId="63" xfId="0" applyNumberFormat="1" applyFont="1" applyFill="1" applyBorder="1" applyAlignment="1">
      <alignment horizontal="center" vertical="center"/>
    </xf>
    <xf numFmtId="0" fontId="17" fillId="0" borderId="36" xfId="0" applyFont="1" applyBorder="1" applyAlignment="1">
      <alignment horizontal="left"/>
    </xf>
    <xf numFmtId="0" fontId="17" fillId="0" borderId="38" xfId="0" applyFont="1" applyBorder="1" applyAlignment="1">
      <alignment horizontal="left"/>
    </xf>
    <xf numFmtId="0" fontId="16" fillId="0" borderId="9" xfId="0" applyFont="1" applyBorder="1" applyAlignment="1">
      <alignment horizontal="left"/>
    </xf>
    <xf numFmtId="0" fontId="15" fillId="0" borderId="36" xfId="0" applyFont="1" applyBorder="1" applyAlignment="1">
      <alignment horizontal="left" vertical="center"/>
    </xf>
    <xf numFmtId="0" fontId="15" fillId="0" borderId="38" xfId="0" applyFont="1" applyBorder="1" applyAlignment="1">
      <alignment horizontal="lef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 xfId="0" applyFont="1" applyBorder="1" applyAlignment="1">
      <alignment horizontal="left"/>
    </xf>
    <xf numFmtId="0" fontId="16" fillId="0" borderId="1" xfId="0" applyFont="1" applyBorder="1" applyAlignment="1">
      <alignment horizontal="left"/>
    </xf>
    <xf numFmtId="0" fontId="13" fillId="5" borderId="38"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8"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29" xfId="0" applyFont="1" applyFill="1" applyBorder="1" applyAlignment="1">
      <alignment horizontal="center" vertical="center"/>
    </xf>
    <xf numFmtId="0" fontId="13" fillId="5" borderId="28" xfId="0" applyFont="1" applyFill="1" applyBorder="1" applyAlignment="1">
      <alignment horizontal="center" vertical="center"/>
    </xf>
    <xf numFmtId="0" fontId="17" fillId="0" borderId="29" xfId="0" applyFont="1" applyBorder="1" applyAlignment="1">
      <alignment horizontal="left" vertical="top" wrapText="1"/>
    </xf>
    <xf numFmtId="0" fontId="17" fillId="0" borderId="0" xfId="0" applyFont="1" applyAlignment="1">
      <alignment horizontal="left" vertical="top" wrapText="1"/>
    </xf>
    <xf numFmtId="0" fontId="17" fillId="0" borderId="38" xfId="0" applyFont="1" applyBorder="1" applyAlignment="1">
      <alignment horizontal="left" vertical="top"/>
    </xf>
    <xf numFmtId="0" fontId="17" fillId="0" borderId="8" xfId="0" applyFont="1" applyBorder="1" applyAlignment="1">
      <alignment horizontal="left" vertical="top"/>
    </xf>
    <xf numFmtId="0" fontId="18" fillId="0" borderId="0" xfId="0" applyFont="1" applyAlignment="1">
      <alignment horizontal="left" vertical="top"/>
    </xf>
    <xf numFmtId="0" fontId="17" fillId="0" borderId="0" xfId="0" applyFont="1" applyAlignment="1">
      <alignment horizontal="center"/>
    </xf>
    <xf numFmtId="0" fontId="13" fillId="10" borderId="4"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6" fillId="9" borderId="49" xfId="0" applyFont="1" applyFill="1" applyBorder="1" applyAlignment="1">
      <alignment horizontal="center" vertical="center" wrapText="1"/>
    </xf>
    <xf numFmtId="0" fontId="16" fillId="9" borderId="50" xfId="0" applyFont="1" applyFill="1" applyBorder="1" applyAlignment="1">
      <alignment horizontal="center" vertical="center" wrapText="1"/>
    </xf>
    <xf numFmtId="167" fontId="9" fillId="9" borderId="30" xfId="16" applyNumberFormat="1" applyFont="1" applyFill="1" applyBorder="1" applyAlignment="1">
      <alignment horizontal="center"/>
    </xf>
    <xf numFmtId="167" fontId="9" fillId="9" borderId="32" xfId="16" applyNumberFormat="1" applyFont="1" applyFill="1" applyBorder="1" applyAlignment="1">
      <alignment horizontal="center"/>
    </xf>
    <xf numFmtId="0" fontId="13" fillId="9" borderId="10"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30" xfId="0" applyFont="1" applyFill="1" applyBorder="1" applyAlignment="1">
      <alignment horizontal="center" vertical="center"/>
    </xf>
    <xf numFmtId="0" fontId="13" fillId="9" borderId="33" xfId="0" applyFont="1" applyFill="1" applyBorder="1" applyAlignment="1">
      <alignment horizontal="center" vertical="center"/>
    </xf>
    <xf numFmtId="0" fontId="13" fillId="9" borderId="32"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5" fillId="0" borderId="0" xfId="0" applyFont="1" applyAlignment="1" applyProtection="1">
      <alignment horizontal="center" vertical="center"/>
      <protection locked="0"/>
    </xf>
    <xf numFmtId="0" fontId="15" fillId="3" borderId="0" xfId="0" applyFont="1" applyFill="1" applyAlignment="1">
      <alignment horizontal="center" vertical="center" wrapText="1"/>
    </xf>
    <xf numFmtId="0" fontId="41" fillId="0" borderId="0" xfId="0" applyFont="1" applyAlignment="1" applyProtection="1">
      <alignment horizontal="center" vertical="center"/>
      <protection locked="0"/>
    </xf>
    <xf numFmtId="0" fontId="15" fillId="2" borderId="0" xfId="0" applyFont="1" applyFill="1" applyAlignment="1">
      <alignment horizontal="center" vertical="center" wrapText="1"/>
    </xf>
    <xf numFmtId="0" fontId="31" fillId="11" borderId="4" xfId="9" applyFont="1" applyFill="1" applyBorder="1" applyAlignment="1" applyProtection="1">
      <alignment horizontal="center" vertical="center" wrapText="1"/>
      <protection locked="0"/>
    </xf>
    <xf numFmtId="0" fontId="31" fillId="11" borderId="14" xfId="9" applyFont="1" applyFill="1" applyBorder="1" applyAlignment="1" applyProtection="1">
      <alignment horizontal="center" vertical="center" wrapText="1"/>
      <protection locked="0"/>
    </xf>
    <xf numFmtId="0" fontId="31" fillId="11" borderId="6" xfId="9" applyFont="1" applyFill="1" applyBorder="1" applyAlignment="1" applyProtection="1">
      <alignment horizontal="center" vertical="center" wrapText="1"/>
      <protection locked="0"/>
    </xf>
    <xf numFmtId="0" fontId="31" fillId="11" borderId="0" xfId="9" applyFont="1" applyFill="1" applyAlignment="1" applyProtection="1">
      <alignment horizontal="center" vertical="center" wrapText="1"/>
      <protection locked="0"/>
    </xf>
    <xf numFmtId="0" fontId="31" fillId="11" borderId="10" xfId="9" applyFont="1" applyFill="1" applyBorder="1" applyAlignment="1" applyProtection="1">
      <alignment horizontal="center" vertical="center" wrapText="1"/>
      <protection locked="0"/>
    </xf>
    <xf numFmtId="0" fontId="31" fillId="11" borderId="18" xfId="9" applyFont="1" applyFill="1" applyBorder="1" applyAlignment="1" applyProtection="1">
      <alignment horizontal="center" vertical="center" wrapText="1"/>
      <protection locked="0"/>
    </xf>
    <xf numFmtId="167" fontId="31" fillId="0" borderId="0" xfId="16" applyNumberFormat="1" applyFont="1" applyAlignment="1">
      <alignment horizontal="center" wrapText="1"/>
    </xf>
    <xf numFmtId="2" fontId="13" fillId="0" borderId="0" xfId="0" applyNumberFormat="1" applyFont="1" applyAlignment="1">
      <alignment horizontal="left"/>
    </xf>
    <xf numFmtId="0" fontId="17" fillId="0" borderId="3" xfId="0" applyFont="1" applyBorder="1" applyAlignment="1">
      <alignment horizontal="center" vertical="top" wrapText="1"/>
    </xf>
    <xf numFmtId="0" fontId="17" fillId="0" borderId="2" xfId="0" applyFont="1" applyBorder="1" applyAlignment="1">
      <alignment horizontal="center" vertical="top" wrapText="1"/>
    </xf>
    <xf numFmtId="0" fontId="17" fillId="0" borderId="9" xfId="0" applyFont="1" applyBorder="1" applyAlignment="1">
      <alignment horizontal="center" vertical="top" wrapText="1"/>
    </xf>
    <xf numFmtId="2" fontId="17" fillId="0" borderId="3" xfId="0" applyNumberFormat="1" applyFont="1" applyBorder="1" applyAlignment="1">
      <alignment horizontal="center" vertical="top" wrapText="1"/>
    </xf>
    <xf numFmtId="2" fontId="17" fillId="0" borderId="2" xfId="0" applyNumberFormat="1" applyFont="1" applyBorder="1" applyAlignment="1">
      <alignment horizontal="center" vertical="top" wrapText="1"/>
    </xf>
    <xf numFmtId="0" fontId="0" fillId="0" borderId="0" xfId="0" applyAlignment="1">
      <alignment horizontal="left" vertical="top" wrapText="1"/>
    </xf>
    <xf numFmtId="14" fontId="16" fillId="11" borderId="0" xfId="0" applyNumberFormat="1" applyFont="1" applyFill="1" applyAlignment="1" applyProtection="1">
      <alignment horizontal="center" vertical="center" wrapText="1"/>
      <protection locked="0"/>
    </xf>
    <xf numFmtId="167" fontId="21" fillId="0" borderId="3" xfId="0" applyNumberFormat="1" applyFont="1" applyBorder="1" applyAlignment="1">
      <alignment horizontal="center" vertical="center"/>
    </xf>
    <xf numFmtId="167" fontId="21" fillId="0" borderId="2" xfId="0" applyNumberFormat="1" applyFont="1" applyBorder="1" applyAlignment="1">
      <alignment horizontal="center" vertical="center"/>
    </xf>
    <xf numFmtId="167" fontId="21" fillId="0" borderId="9" xfId="0" applyNumberFormat="1" applyFont="1" applyBorder="1" applyAlignment="1">
      <alignment horizontal="center" vertical="center"/>
    </xf>
    <xf numFmtId="0" fontId="29" fillId="0" borderId="0" xfId="0" applyFont="1" applyAlignment="1">
      <alignment horizontal="left" wrapText="1"/>
    </xf>
    <xf numFmtId="0" fontId="29" fillId="0" borderId="0" xfId="0" applyFont="1" applyAlignment="1">
      <alignment horizontal="left"/>
    </xf>
    <xf numFmtId="0" fontId="32" fillId="0" borderId="30" xfId="9" applyFont="1" applyBorder="1" applyAlignment="1">
      <alignment horizontal="center" vertical="center" wrapText="1"/>
    </xf>
    <xf numFmtId="0" fontId="32" fillId="0" borderId="33" xfId="9" applyFont="1" applyBorder="1" applyAlignment="1">
      <alignment horizontal="center" vertical="center" wrapText="1"/>
    </xf>
    <xf numFmtId="0" fontId="32" fillId="0" borderId="32" xfId="9" applyFont="1" applyBorder="1" applyAlignment="1">
      <alignment horizontal="center" vertical="center" wrapText="1"/>
    </xf>
    <xf numFmtId="171" fontId="15" fillId="0" borderId="12" xfId="12" applyNumberFormat="1" applyFont="1" applyFill="1" applyBorder="1" applyAlignment="1" applyProtection="1">
      <alignment horizontal="center" vertical="center"/>
    </xf>
    <xf numFmtId="171" fontId="15" fillId="0" borderId="13" xfId="12" applyNumberFormat="1" applyFont="1" applyFill="1" applyBorder="1" applyAlignment="1" applyProtection="1">
      <alignment horizontal="center" vertical="center"/>
    </xf>
    <xf numFmtId="171" fontId="15" fillId="0" borderId="16" xfId="12" applyNumberFormat="1" applyFont="1" applyFill="1" applyBorder="1" applyAlignment="1" applyProtection="1">
      <alignment horizontal="center" vertical="center"/>
    </xf>
    <xf numFmtId="171" fontId="15" fillId="0" borderId="17" xfId="12" applyNumberFormat="1" applyFont="1" applyFill="1" applyBorder="1" applyAlignment="1" applyProtection="1">
      <alignment horizontal="center" vertical="center"/>
    </xf>
    <xf numFmtId="0" fontId="34" fillId="7" borderId="30" xfId="9" applyFont="1" applyFill="1" applyBorder="1" applyAlignment="1">
      <alignment horizontal="center" vertical="center" wrapText="1"/>
    </xf>
    <xf numFmtId="0" fontId="34" fillId="7" borderId="33" xfId="9" applyFont="1" applyFill="1" applyBorder="1" applyAlignment="1">
      <alignment horizontal="center" vertical="center" wrapText="1"/>
    </xf>
    <xf numFmtId="0" fontId="34" fillId="7" borderId="32" xfId="9" applyFont="1" applyFill="1" applyBorder="1" applyAlignment="1">
      <alignment horizontal="center" vertical="center" wrapText="1"/>
    </xf>
    <xf numFmtId="0" fontId="0" fillId="0" borderId="0" xfId="0" applyAlignment="1">
      <alignment horizontal="right" wrapText="1"/>
    </xf>
    <xf numFmtId="0" fontId="31" fillId="0" borderId="0" xfId="9" applyFont="1" applyAlignment="1" applyProtection="1">
      <alignment horizontal="center"/>
      <protection locked="0"/>
    </xf>
    <xf numFmtId="0" fontId="31" fillId="0" borderId="0" xfId="9" applyFont="1" applyAlignment="1">
      <alignment horizontal="right"/>
    </xf>
    <xf numFmtId="167" fontId="7" fillId="0" borderId="1" xfId="11" applyNumberFormat="1" applyFont="1" applyFill="1" applyBorder="1" applyAlignment="1">
      <alignment horizontal="center" vertical="center"/>
    </xf>
    <xf numFmtId="167" fontId="7" fillId="0" borderId="3" xfId="11" applyNumberFormat="1" applyFont="1" applyFill="1" applyBorder="1" applyAlignment="1">
      <alignment horizontal="center" vertical="center"/>
    </xf>
    <xf numFmtId="167" fontId="7" fillId="0" borderId="9" xfId="11" applyNumberFormat="1" applyFont="1" applyFill="1" applyBorder="1" applyAlignment="1">
      <alignment horizontal="center" vertical="center"/>
    </xf>
    <xf numFmtId="172" fontId="34" fillId="0" borderId="4" xfId="9" applyNumberFormat="1" applyFont="1" applyBorder="1" applyAlignment="1">
      <alignment horizontal="center" vertical="center"/>
    </xf>
    <xf numFmtId="172" fontId="34" fillId="0" borderId="14" xfId="9" applyNumberFormat="1" applyFont="1" applyBorder="1" applyAlignment="1">
      <alignment horizontal="center" vertical="center"/>
    </xf>
    <xf numFmtId="172" fontId="34" fillId="0" borderId="5" xfId="9" applyNumberFormat="1" applyFont="1" applyBorder="1" applyAlignment="1">
      <alignment horizontal="center" vertical="center"/>
    </xf>
    <xf numFmtId="172" fontId="34" fillId="0" borderId="10" xfId="9" applyNumberFormat="1" applyFont="1" applyBorder="1" applyAlignment="1">
      <alignment horizontal="center" vertical="center"/>
    </xf>
    <xf numFmtId="172" fontId="34" fillId="0" borderId="18" xfId="9" applyNumberFormat="1" applyFont="1" applyBorder="1" applyAlignment="1">
      <alignment horizontal="center" vertical="center"/>
    </xf>
    <xf numFmtId="172" fontId="34" fillId="0" borderId="11" xfId="9" applyNumberFormat="1" applyFont="1" applyBorder="1" applyAlignment="1">
      <alignment horizontal="center" vertical="center"/>
    </xf>
    <xf numFmtId="0" fontId="24" fillId="0" borderId="9" xfId="6" applyFont="1" applyBorder="1" applyAlignment="1">
      <alignment horizontal="left" vertical="center" wrapText="1"/>
    </xf>
    <xf numFmtId="0" fontId="24" fillId="0" borderId="1" xfId="6" applyFont="1" applyBorder="1" applyAlignment="1">
      <alignment horizontal="left" vertical="center" wrapText="1"/>
    </xf>
    <xf numFmtId="4" fontId="24" fillId="0" borderId="9" xfId="9" applyNumberFormat="1" applyBorder="1" applyAlignment="1">
      <alignment horizontal="center" vertical="center"/>
    </xf>
    <xf numFmtId="4" fontId="24" fillId="0" borderId="1" xfId="9" applyNumberFormat="1" applyBorder="1" applyAlignment="1">
      <alignment horizontal="center" vertical="center"/>
    </xf>
    <xf numFmtId="9" fontId="24" fillId="0" borderId="9" xfId="13" applyFont="1" applyFill="1" applyBorder="1" applyAlignment="1">
      <alignment horizontal="center" vertical="center"/>
    </xf>
    <xf numFmtId="9" fontId="24" fillId="0" borderId="1" xfId="13"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24" fillId="0" borderId="3" xfId="6" applyFont="1" applyBorder="1" applyAlignment="1">
      <alignment horizontal="left" vertical="center" wrapText="1"/>
    </xf>
    <xf numFmtId="4" fontId="24" fillId="0" borderId="3" xfId="9" applyNumberFormat="1" applyBorder="1" applyAlignment="1">
      <alignment horizontal="center" vertical="center"/>
    </xf>
    <xf numFmtId="9" fontId="24" fillId="0" borderId="3" xfId="13" applyFont="1" applyFill="1" applyBorder="1" applyAlignment="1">
      <alignment horizontal="center" vertical="center"/>
    </xf>
    <xf numFmtId="0" fontId="4" fillId="0" borderId="0" xfId="9" applyFont="1" applyAlignment="1">
      <alignment horizontal="center" vertical="center"/>
    </xf>
    <xf numFmtId="0" fontId="24" fillId="0" borderId="0" xfId="9" applyAlignment="1">
      <alignment horizontal="center" vertical="center"/>
    </xf>
    <xf numFmtId="0" fontId="24" fillId="0" borderId="7" xfId="9" applyBorder="1" applyAlignment="1">
      <alignment horizontal="center" vertical="center"/>
    </xf>
    <xf numFmtId="0" fontId="32" fillId="7" borderId="6" xfId="9" applyFont="1" applyFill="1" applyBorder="1" applyAlignment="1">
      <alignment horizontal="center" vertical="center" wrapText="1"/>
    </xf>
    <xf numFmtId="0" fontId="32" fillId="7" borderId="0" xfId="9" applyFont="1" applyFill="1" applyAlignment="1">
      <alignment horizontal="center" vertical="center" wrapText="1"/>
    </xf>
    <xf numFmtId="0" fontId="32" fillId="7" borderId="7" xfId="9" applyFont="1" applyFill="1" applyBorder="1" applyAlignment="1">
      <alignment horizontal="center" vertical="center" wrapText="1"/>
    </xf>
    <xf numFmtId="0" fontId="24" fillId="0" borderId="34" xfId="9" applyBorder="1" applyAlignment="1">
      <alignment horizontal="center" vertical="center" wrapText="1"/>
    </xf>
    <xf numFmtId="0" fontId="24" fillId="0" borderId="52" xfId="9" applyBorder="1" applyAlignment="1">
      <alignment horizontal="center" vertical="center" wrapText="1"/>
    </xf>
    <xf numFmtId="167" fontId="29" fillId="0" borderId="3" xfId="0" applyNumberFormat="1" applyFont="1" applyBorder="1" applyAlignment="1">
      <alignment horizontal="center" vertical="center"/>
    </xf>
    <xf numFmtId="167" fontId="29" fillId="0" borderId="2" xfId="0" applyNumberFormat="1" applyFont="1" applyBorder="1" applyAlignment="1">
      <alignment horizontal="center" vertical="center"/>
    </xf>
    <xf numFmtId="167" fontId="29" fillId="0" borderId="9" xfId="0" applyNumberFormat="1" applyFont="1" applyBorder="1" applyAlignment="1">
      <alignment horizontal="center" vertical="center"/>
    </xf>
    <xf numFmtId="167" fontId="24" fillId="0" borderId="3" xfId="9" applyNumberFormat="1" applyBorder="1" applyAlignment="1">
      <alignment horizontal="center" vertical="center"/>
    </xf>
    <xf numFmtId="167" fontId="24" fillId="0" borderId="2" xfId="9" applyNumberFormat="1" applyBorder="1" applyAlignment="1">
      <alignment horizontal="center" vertical="center"/>
    </xf>
    <xf numFmtId="167" fontId="24" fillId="0" borderId="9" xfId="9" applyNumberFormat="1" applyBorder="1" applyAlignment="1">
      <alignment horizontal="center" vertical="center"/>
    </xf>
    <xf numFmtId="0" fontId="32" fillId="0" borderId="0" xfId="9" applyFont="1" applyAlignment="1">
      <alignment horizontal="center" vertical="center" wrapText="1"/>
    </xf>
    <xf numFmtId="0" fontId="21" fillId="0" borderId="4"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0" fillId="0" borderId="0" xfId="0" applyAlignment="1">
      <alignment horizontal="left" wrapText="1"/>
    </xf>
    <xf numFmtId="0" fontId="13" fillId="0" borderId="0" xfId="0" applyFont="1" applyAlignment="1">
      <alignment horizontal="center"/>
    </xf>
    <xf numFmtId="0" fontId="0" fillId="14" borderId="0" xfId="0" applyFill="1" applyAlignment="1">
      <alignment horizontal="left" wrapText="1"/>
    </xf>
    <xf numFmtId="0" fontId="0" fillId="14" borderId="18" xfId="0" applyFill="1" applyBorder="1" applyAlignment="1">
      <alignment horizontal="left" wrapText="1"/>
    </xf>
    <xf numFmtId="0" fontId="25" fillId="14" borderId="4" xfId="0" applyFont="1" applyFill="1" applyBorder="1" applyAlignment="1">
      <alignment horizontal="center" wrapText="1"/>
    </xf>
    <xf numFmtId="0" fontId="25" fillId="14" borderId="14" xfId="0" applyFont="1" applyFill="1" applyBorder="1" applyAlignment="1">
      <alignment horizontal="center" wrapText="1"/>
    </xf>
    <xf numFmtId="0" fontId="25" fillId="14" borderId="5" xfId="0" applyFont="1" applyFill="1" applyBorder="1" applyAlignment="1">
      <alignment horizontal="center" wrapText="1"/>
    </xf>
    <xf numFmtId="0" fontId="25" fillId="14" borderId="6" xfId="0" applyFont="1" applyFill="1" applyBorder="1" applyAlignment="1">
      <alignment horizontal="center" wrapText="1"/>
    </xf>
    <xf numFmtId="0" fontId="25" fillId="14" borderId="0" xfId="0" applyFont="1" applyFill="1" applyAlignment="1">
      <alignment horizontal="center" wrapText="1"/>
    </xf>
    <xf numFmtId="0" fontId="25" fillId="14" borderId="7" xfId="0" applyFont="1" applyFill="1" applyBorder="1" applyAlignment="1">
      <alignment horizontal="center" wrapText="1"/>
    </xf>
    <xf numFmtId="0" fontId="17" fillId="0" borderId="0" xfId="0" applyFont="1" applyAlignment="1">
      <alignment horizontal="left" wrapText="1"/>
    </xf>
    <xf numFmtId="0" fontId="17" fillId="0" borderId="7" xfId="0" applyFont="1" applyBorder="1" applyAlignment="1">
      <alignment horizontal="left" wrapText="1"/>
    </xf>
    <xf numFmtId="8" fontId="29" fillId="0" borderId="0" xfId="0" applyNumberFormat="1" applyFont="1"/>
  </cellXfs>
  <cellStyles count="18">
    <cellStyle name="Komma" xfId="1" builtinId="3"/>
    <cellStyle name="Komma 2" xfId="12" xr:uid="{00000000-0005-0000-0000-000001000000}"/>
    <cellStyle name="Link" xfId="8" builtinId="8"/>
    <cellStyle name="Prozent" xfId="3" builtinId="5"/>
    <cellStyle name="Prozent 2" xfId="5" xr:uid="{00000000-0005-0000-0000-000004000000}"/>
    <cellStyle name="Prozent 2 2" xfId="10" xr:uid="{00000000-0005-0000-0000-000005000000}"/>
    <cellStyle name="Prozent 2 4" xfId="17" xr:uid="{00000000-0005-0000-0000-000006000000}"/>
    <cellStyle name="Prozent 3" xfId="13" xr:uid="{00000000-0005-0000-0000-000007000000}"/>
    <cellStyle name="Standard" xfId="0" builtinId="0"/>
    <cellStyle name="Standard 2" xfId="6" xr:uid="{00000000-0005-0000-0000-000009000000}"/>
    <cellStyle name="Standard 2 2" xfId="7" xr:uid="{00000000-0005-0000-0000-00000A000000}"/>
    <cellStyle name="Standard 2_Budgetabgleich 2020" xfId="14" xr:uid="{00000000-0005-0000-0000-00000B000000}"/>
    <cellStyle name="Standard 3" xfId="4" xr:uid="{00000000-0005-0000-0000-00000C000000}"/>
    <cellStyle name="Standard 3 2" xfId="9" xr:uid="{00000000-0005-0000-0000-00000D000000}"/>
    <cellStyle name="Standard 3 3" xfId="16" xr:uid="{00000000-0005-0000-0000-00000E000000}"/>
    <cellStyle name="Standard 3_Budgetabgleich 2020" xfId="15" xr:uid="{00000000-0005-0000-0000-00000F000000}"/>
    <cellStyle name="Währung" xfId="2" builtinId="4"/>
    <cellStyle name="Währung 2" xfId="11" xr:uid="{00000000-0005-0000-0000-000011000000}"/>
  </cellStyles>
  <dxfs count="54">
    <dxf>
      <font>
        <color theme="0"/>
      </font>
    </dxf>
    <dxf>
      <fill>
        <patternFill patternType="none">
          <bgColor auto="1"/>
        </patternFill>
      </fill>
    </dxf>
    <dxf>
      <font>
        <color theme="0"/>
      </font>
    </dxf>
    <dxf>
      <font>
        <color theme="0"/>
      </font>
    </dxf>
    <dxf>
      <fill>
        <patternFill patternType="none">
          <bgColor auto="1"/>
        </patternFill>
      </fill>
    </dxf>
    <dxf>
      <font>
        <color theme="0"/>
      </font>
    </dxf>
    <dxf>
      <fill>
        <patternFill patternType="none">
          <bgColor auto="1"/>
        </patternFill>
      </fill>
    </dxf>
    <dxf>
      <font>
        <color theme="0"/>
      </font>
    </dxf>
    <dxf>
      <font>
        <color theme="0"/>
      </font>
    </dxf>
    <dxf>
      <font>
        <color theme="0"/>
      </font>
    </dxf>
    <dxf>
      <fill>
        <patternFill patternType="none">
          <bgColor auto="1"/>
        </patternFill>
      </fill>
    </dxf>
    <dxf>
      <font>
        <color rgb="FF9C0006"/>
      </font>
      <fill>
        <patternFill>
          <bgColor rgb="FFFFC7CE"/>
        </patternFill>
      </fill>
    </dxf>
    <dxf>
      <font>
        <color rgb="FF9C6500"/>
      </font>
      <fill>
        <patternFill>
          <bgColor rgb="FFFFEB9C"/>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dxf>
    <dxf>
      <font>
        <color rgb="FFFFFFFF"/>
      </font>
    </dxf>
    <dxf>
      <font>
        <color theme="0"/>
      </font>
    </dxf>
    <dxf>
      <font>
        <color theme="0"/>
      </font>
    </dxf>
    <dxf>
      <font>
        <color theme="0"/>
      </font>
    </dxf>
    <dxf>
      <font>
        <color theme="0"/>
      </font>
    </dxf>
    <dxf>
      <font>
        <color rgb="FFFFFFFF"/>
      </font>
    </dxf>
    <dxf>
      <font>
        <color theme="0"/>
      </font>
    </dxf>
    <dxf>
      <font>
        <color theme="0"/>
      </font>
    </dxf>
    <dxf>
      <font>
        <color rgb="FFFFFFFF"/>
      </font>
    </dxf>
    <dxf>
      <font>
        <color theme="0"/>
      </font>
    </dxf>
    <dxf>
      <font>
        <color theme="0"/>
      </font>
    </dxf>
    <dxf>
      <font>
        <color rgb="FFFFFFFF"/>
      </font>
    </dxf>
    <dxf>
      <font>
        <color theme="0"/>
      </font>
    </dxf>
    <dxf>
      <font>
        <color theme="0"/>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777873</xdr:colOff>
      <xdr:row>0</xdr:row>
      <xdr:rowOff>158750</xdr:rowOff>
    </xdr:from>
    <xdr:to>
      <xdr:col>21</xdr:col>
      <xdr:colOff>174623</xdr:colOff>
      <xdr:row>5</xdr:row>
      <xdr:rowOff>0</xdr:rowOff>
    </xdr:to>
    <xdr:sp macro="" textlink="">
      <xdr:nvSpPr>
        <xdr:cNvPr id="2" name="Pfeil: nach unten 1">
          <a:extLst>
            <a:ext uri="{FF2B5EF4-FFF2-40B4-BE49-F238E27FC236}">
              <a16:creationId xmlns:a16="http://schemas.microsoft.com/office/drawing/2014/main" id="{3CF27432-9BDB-FD8C-A54C-7AA25D6120B7}"/>
            </a:ext>
          </a:extLst>
        </xdr:cNvPr>
        <xdr:cNvSpPr/>
      </xdr:nvSpPr>
      <xdr:spPr>
        <a:xfrm>
          <a:off x="12104686" y="158750"/>
          <a:ext cx="246062" cy="484188"/>
        </a:xfrm>
        <a:prstGeom prst="downArrow">
          <a:avLst>
            <a:gd name="adj1" fmla="val 100000"/>
            <a:gd name="adj2" fmla="val 50000"/>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209550</xdr:colOff>
      <xdr:row>12</xdr:row>
      <xdr:rowOff>66674</xdr:rowOff>
    </xdr:from>
    <xdr:ext cx="7181847" cy="937629"/>
    <xdr:sp macro="" textlink="">
      <xdr:nvSpPr>
        <xdr:cNvPr id="3" name="Rechteck 2">
          <a:extLst>
            <a:ext uri="{FF2B5EF4-FFF2-40B4-BE49-F238E27FC236}">
              <a16:creationId xmlns:a16="http://schemas.microsoft.com/office/drawing/2014/main" id="{00000000-0008-0000-0400-000003000000}"/>
            </a:ext>
          </a:extLst>
        </xdr:cNvPr>
        <xdr:cNvSpPr/>
      </xdr:nvSpPr>
      <xdr:spPr>
        <a:xfrm rot="2616695">
          <a:off x="209550" y="4295774"/>
          <a:ext cx="7181847"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228600</xdr:colOff>
      <xdr:row>5</xdr:row>
      <xdr:rowOff>314325</xdr:rowOff>
    </xdr:from>
    <xdr:ext cx="7181847" cy="937629"/>
    <xdr:sp macro="" textlink="">
      <xdr:nvSpPr>
        <xdr:cNvPr id="3" name="Rechteck 2">
          <a:extLst>
            <a:ext uri="{FF2B5EF4-FFF2-40B4-BE49-F238E27FC236}">
              <a16:creationId xmlns:a16="http://schemas.microsoft.com/office/drawing/2014/main" id="{00000000-0008-0000-0500-000003000000}"/>
            </a:ext>
          </a:extLst>
        </xdr:cNvPr>
        <xdr:cNvSpPr/>
      </xdr:nvSpPr>
      <xdr:spPr>
        <a:xfrm rot="2616695">
          <a:off x="1143000" y="3743325"/>
          <a:ext cx="7181847"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447675</xdr:colOff>
      <xdr:row>8</xdr:row>
      <xdr:rowOff>208759</xdr:rowOff>
    </xdr:from>
    <xdr:ext cx="6236704" cy="937629"/>
    <xdr:sp macro="" textlink="">
      <xdr:nvSpPr>
        <xdr:cNvPr id="3" name="Rechteck 2">
          <a:extLst>
            <a:ext uri="{FF2B5EF4-FFF2-40B4-BE49-F238E27FC236}">
              <a16:creationId xmlns:a16="http://schemas.microsoft.com/office/drawing/2014/main" id="{00000000-0008-0000-0600-000003000000}"/>
            </a:ext>
          </a:extLst>
        </xdr:cNvPr>
        <xdr:cNvSpPr/>
      </xdr:nvSpPr>
      <xdr:spPr>
        <a:xfrm rot="2616695">
          <a:off x="2419350" y="3352009"/>
          <a:ext cx="6236704" cy="937629"/>
        </a:xfrm>
        <a:prstGeom prst="rect">
          <a:avLst/>
        </a:prstGeom>
        <a:noFill/>
      </xdr:spPr>
      <xdr:txBody>
        <a:bodyPr wrap="square" lIns="91440" tIns="45720" rIns="91440" bIns="45720">
          <a:spAutoFit/>
        </a:bodyPr>
        <a:lstStyle/>
        <a:p>
          <a:pPr algn="ctr"/>
          <a:r>
            <a:rPr lang="de-DE" sz="5400" b="1" cap="none" spc="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Nur</a:t>
          </a:r>
          <a:r>
            <a:rPr lang="de-DE" sz="5400" b="1" cap="none" spc="0" baseline="0">
              <a:ln w="10160">
                <a:solidFill>
                  <a:schemeClr val="accent5"/>
                </a:solidFill>
                <a:prstDash val="solid"/>
              </a:ln>
              <a:solidFill>
                <a:srgbClr val="FFFFFF">
                  <a:alpha val="0"/>
                </a:srgbClr>
              </a:solidFill>
              <a:effectLst>
                <a:outerShdw blurRad="38100" dist="22860" dir="5400000" algn="tl" rotWithShape="0">
                  <a:srgbClr val="000000">
                    <a:alpha val="30000"/>
                  </a:srgbClr>
                </a:outerShdw>
              </a:effectLst>
            </a:rPr>
            <a:t> zur Infomation</a:t>
          </a:r>
          <a:r>
            <a:rPr lang="de-DE" sz="5400" b="1" cap="none" spc="0" baseline="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rPr>
            <a:t> </a:t>
          </a:r>
          <a:endParaRPr lang="de-DE" sz="5400" b="1" cap="none" spc="0">
            <a:ln w="10160">
              <a:solidFill>
                <a:schemeClr val="accent5">
                  <a:alpha val="0"/>
                </a:schemeClr>
              </a:solidFill>
              <a:prstDash val="solid"/>
            </a:ln>
            <a:solidFill>
              <a:srgbClr val="FFFFFF">
                <a:alpha val="0"/>
              </a:srgbClr>
            </a:solidFill>
            <a:effectLst>
              <a:outerShdw blurRad="38100" dist="22860" dir="5400000" algn="tl" rotWithShape="0">
                <a:srgbClr val="000000">
                  <a:alpha val="3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561974</xdr:colOff>
      <xdr:row>17</xdr:row>
      <xdr:rowOff>20956</xdr:rowOff>
    </xdr:from>
    <xdr:to>
      <xdr:col>7</xdr:col>
      <xdr:colOff>533399</xdr:colOff>
      <xdr:row>17</xdr:row>
      <xdr:rowOff>152400</xdr:rowOff>
    </xdr:to>
    <xdr:sp macro="" textlink="">
      <xdr:nvSpPr>
        <xdr:cNvPr id="2" name="Pfeil: nach links und rechts 1">
          <a:extLst>
            <a:ext uri="{FF2B5EF4-FFF2-40B4-BE49-F238E27FC236}">
              <a16:creationId xmlns:a16="http://schemas.microsoft.com/office/drawing/2014/main" id="{5C59989E-17C6-3E91-891E-9ED067F17471}"/>
            </a:ext>
          </a:extLst>
        </xdr:cNvPr>
        <xdr:cNvSpPr/>
      </xdr:nvSpPr>
      <xdr:spPr>
        <a:xfrm>
          <a:off x="10677524" y="2916556"/>
          <a:ext cx="733425" cy="131444"/>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358140</xdr:colOff>
      <xdr:row>18</xdr:row>
      <xdr:rowOff>13338</xdr:rowOff>
    </xdr:from>
    <xdr:to>
      <xdr:col>5</xdr:col>
      <xdr:colOff>514349</xdr:colOff>
      <xdr:row>21</xdr:row>
      <xdr:rowOff>161930</xdr:rowOff>
    </xdr:to>
    <xdr:sp macro="" textlink="">
      <xdr:nvSpPr>
        <xdr:cNvPr id="3" name="Pfeil: nach links und rechts 2">
          <a:extLst>
            <a:ext uri="{FF2B5EF4-FFF2-40B4-BE49-F238E27FC236}">
              <a16:creationId xmlns:a16="http://schemas.microsoft.com/office/drawing/2014/main" id="{33EF4D2E-CFFA-4500-8200-5EF6D49BC98D}"/>
            </a:ext>
          </a:extLst>
        </xdr:cNvPr>
        <xdr:cNvSpPr/>
      </xdr:nvSpPr>
      <xdr:spPr>
        <a:xfrm rot="5400000">
          <a:off x="9472611" y="3319467"/>
          <a:ext cx="634367" cy="156209"/>
        </a:xfrm>
        <a:prstGeom prst="lef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ient\E$\3.%20SAuB\14%20Entgelte\3.14.6.%20Verhandlungen\Antr&#228;ge\SGB%20XII\Aktuelle%20Antr&#228;ge\2018\2018%20Wohnhei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ient\D$\3.%20SAuB\14%20Entgelte\3.14.6.%20Verhandlungen\Antr&#228;ge\SGB%20XII\Aktuelle%20Antr&#228;ge\2018\2018%20Wohnhei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SAuB/14%20Entgelte/3.14.6.%20Verhandlungen/Antr&#228;ge/SGB%20XII/Aktuelle%20Antr&#228;ge/2018/2018%20Wohnhei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FD%20220\RB%20Dresden\VG%20SGB%20XII%202018\STW\DW%20Kamenz\Eulenhof\Ergebnis%20Eulenhof%20Kamenz%20und%20AWG%20201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D%20220\RB%20Dresden\VG%20SGB%20XII%202018\STW\DW%20Kamenz\Eulenhof\Ergebnis%20Eulenhof%20Kamenz%20und%20AWG%20201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ient\R$\Pflegesatz\RB%20Dresden\VG%20SGB%20XII%202007\WH\AWO%20Dresden%20Erwachsene%20Fischhausstr\Angebot%20KS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ient\E$\3.%20SAuB\14%20Entgelte\3.14.6.%20Verhandlungen\SGB%20XII\Paritas%20Plauen\2017\Verhandlung\20170310%20Antrag%20Au&#223;enwohngrupp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ient\F$\3.%20SAuB\14%20Entgelte\3.14.6.%20Verhandlungen\SGB%20XII\Paritas%20Plauen\2017\Verhandlung\20170310%20Antrag%20Au&#223;enwohngrupp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3.%20SAuB/14%20Entgelte/3.14.6.%20Verhandlungen/SGB%20XII/Paritas%20Plauen/2017/Verhandlung/20170310%20Antrag%20Au&#223;enwohngrup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Anlage  1"/>
      <sheetName val="Anlage  2"/>
      <sheetName val="Anlage  3"/>
      <sheetName val="Anlage  4"/>
      <sheetName val="Anlage 5"/>
      <sheetName val="Anlage 6"/>
      <sheetName val="Anlage 7"/>
      <sheetName val="Verhandlungsblatt"/>
    </sheetNames>
    <sheetDataSet>
      <sheetData sheetId="0"/>
      <sheetData sheetId="1">
        <row r="21">
          <cell r="H21">
            <v>0</v>
          </cell>
        </row>
        <row r="22">
          <cell r="H22">
            <v>0</v>
          </cell>
        </row>
        <row r="23">
          <cell r="H23">
            <v>0</v>
          </cell>
        </row>
        <row r="24">
          <cell r="H24">
            <v>0</v>
          </cell>
        </row>
        <row r="25">
          <cell r="H25">
            <v>0</v>
          </cell>
        </row>
        <row r="29">
          <cell r="H29" t="str">
            <v/>
          </cell>
        </row>
        <row r="30">
          <cell r="H30" t="str">
            <v/>
          </cell>
        </row>
        <row r="31">
          <cell r="H31" t="str">
            <v/>
          </cell>
        </row>
        <row r="32">
          <cell r="H32" t="str">
            <v/>
          </cell>
        </row>
        <row r="33">
          <cell r="H33" t="str">
            <v/>
          </cell>
        </row>
        <row r="34">
          <cell r="H34" t="str">
            <v/>
          </cell>
        </row>
        <row r="35">
          <cell r="H35" t="str">
            <v/>
          </cell>
        </row>
        <row r="36">
          <cell r="H36" t="str">
            <v/>
          </cell>
        </row>
        <row r="37">
          <cell r="H37" t="str">
            <v/>
          </cell>
        </row>
        <row r="38">
          <cell r="H38" t="str">
            <v/>
          </cell>
        </row>
        <row r="39">
          <cell r="H39" t="str">
            <v/>
          </cell>
        </row>
        <row r="40">
          <cell r="H40" t="str">
            <v/>
          </cell>
        </row>
        <row r="41">
          <cell r="H41" t="str">
            <v/>
          </cell>
        </row>
        <row r="42">
          <cell r="H42" t="str">
            <v/>
          </cell>
        </row>
      </sheetData>
      <sheetData sheetId="2">
        <row r="42">
          <cell r="F42">
            <v>0</v>
          </cell>
          <cell r="H42">
            <v>0</v>
          </cell>
        </row>
        <row r="52">
          <cell r="D52">
            <v>0</v>
          </cell>
          <cell r="H52">
            <v>0</v>
          </cell>
        </row>
      </sheetData>
      <sheetData sheetId="3">
        <row r="33">
          <cell r="G33">
            <v>0</v>
          </cell>
        </row>
      </sheetData>
      <sheetData sheetId="4">
        <row r="10">
          <cell r="D10">
            <v>0</v>
          </cell>
          <cell r="E10">
            <v>0</v>
          </cell>
        </row>
        <row r="18">
          <cell r="D18">
            <v>0</v>
          </cell>
          <cell r="E18">
            <v>0</v>
          </cell>
        </row>
        <row r="29">
          <cell r="D29">
            <v>0</v>
          </cell>
          <cell r="E29">
            <v>0</v>
          </cell>
        </row>
        <row r="40">
          <cell r="D40">
            <v>0</v>
          </cell>
          <cell r="E40">
            <v>0</v>
          </cell>
        </row>
        <row r="48">
          <cell r="D48">
            <v>0</v>
          </cell>
        </row>
        <row r="56">
          <cell r="D56">
            <v>0</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betrachtung"/>
      <sheetName val="Personal intern"/>
      <sheetName val="KoLei intern"/>
      <sheetName val="Vergütung intern"/>
      <sheetName val="Personal extern"/>
      <sheetName val="KoLei extern"/>
      <sheetName val="Vergütung extern"/>
      <sheetName val="Invest STW"/>
      <sheetName val="Personal AWG"/>
      <sheetName val="KoLei AWG"/>
      <sheetName val="Vergütung AWG"/>
      <sheetName val="Invest AWG"/>
    </sheetNames>
    <sheetDataSet>
      <sheetData sheetId="0"/>
      <sheetData sheetId="1">
        <row r="6">
          <cell r="B6" t="str">
            <v>Sozialtherapeutische Wohnstätte für Menschen mit cpk</v>
          </cell>
        </row>
      </sheetData>
      <sheetData sheetId="2">
        <row r="24">
          <cell r="G24">
            <v>4.53</v>
          </cell>
        </row>
      </sheetData>
      <sheetData sheetId="3"/>
      <sheetData sheetId="4"/>
      <sheetData sheetId="5"/>
      <sheetData sheetId="6"/>
      <sheetData sheetId="7"/>
      <sheetData sheetId="8">
        <row r="13">
          <cell r="C13">
            <v>1416</v>
          </cell>
        </row>
      </sheetData>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betrachtung"/>
      <sheetName val="Personal intern"/>
      <sheetName val="KoLei intern"/>
      <sheetName val="Vergütung intern"/>
      <sheetName val="Personal extern"/>
      <sheetName val="KoLei extern"/>
      <sheetName val="Vergütung extern"/>
      <sheetName val="Invest STW"/>
      <sheetName val="Personal AWG"/>
      <sheetName val="KoLei AWG"/>
      <sheetName val="Vergütung AWG"/>
      <sheetName val="Invest AWG"/>
    </sheetNames>
    <sheetDataSet>
      <sheetData sheetId="0"/>
      <sheetData sheetId="1">
        <row r="6">
          <cell r="B6" t="str">
            <v>Sozialtherapeutische Wohnstätte für Menschen mit cpk</v>
          </cell>
        </row>
      </sheetData>
      <sheetData sheetId="2">
        <row r="24">
          <cell r="G24">
            <v>4.53</v>
          </cell>
        </row>
      </sheetData>
      <sheetData sheetId="3"/>
      <sheetData sheetId="4"/>
      <sheetData sheetId="5"/>
      <sheetData sheetId="6"/>
      <sheetData sheetId="7"/>
      <sheetData sheetId="8">
        <row r="13">
          <cell r="C13">
            <v>1416</v>
          </cell>
        </row>
      </sheetData>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
      <sheetName val="Kosten und Leistungen"/>
      <sheetName val="VERGÜTUNG"/>
      <sheetName val="VERGÜTUNG Metzler"/>
    </sheetNames>
    <sheetDataSet>
      <sheetData sheetId="0">
        <row r="13">
          <cell r="J13">
            <v>3541</v>
          </cell>
        </row>
      </sheetData>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 val="Tabelle3"/>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
      <sheetName val="Deckblatt"/>
      <sheetName val="Anlage  1"/>
      <sheetName val="Anlage  2"/>
      <sheetName val="Anlage  3"/>
      <sheetName val="Anlage  4"/>
      <sheetName val="Anlage  5"/>
      <sheetName val="Anlage  6"/>
      <sheetName val="Anlage 7"/>
    </sheetNames>
    <sheetDataSet>
      <sheetData sheetId="0"/>
      <sheetData sheetId="1"/>
      <sheetData sheetId="2"/>
      <sheetData sheetId="3"/>
      <sheetData sheetId="4">
        <row r="10">
          <cell r="I10">
            <v>11290</v>
          </cell>
        </row>
        <row r="12">
          <cell r="I12">
            <v>16986</v>
          </cell>
        </row>
        <row r="14">
          <cell r="I14">
            <v>123420</v>
          </cell>
        </row>
        <row r="16">
          <cell r="I16">
            <v>0</v>
          </cell>
        </row>
        <row r="18">
          <cell r="I18">
            <v>7107</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7B96-265F-4AAF-83E2-12871F291E94}">
  <sheetPr>
    <tabColor theme="7"/>
  </sheetPr>
  <dimension ref="A1:A28"/>
  <sheetViews>
    <sheetView showGridLines="0" workbookViewId="0">
      <selection activeCell="A25" sqref="A25"/>
    </sheetView>
  </sheetViews>
  <sheetFormatPr baseColWidth="10" defaultRowHeight="12.5" x14ac:dyDescent="0.25"/>
  <cols>
    <col min="1" max="1" width="92.453125" customWidth="1"/>
  </cols>
  <sheetData>
    <row r="1" spans="1:1" ht="15.5" x14ac:dyDescent="0.35">
      <c r="A1" s="422" t="s">
        <v>333</v>
      </c>
    </row>
    <row r="3" spans="1:1" ht="14" x14ac:dyDescent="0.3">
      <c r="A3" s="132" t="s">
        <v>332</v>
      </c>
    </row>
    <row r="4" spans="1:1" ht="14" x14ac:dyDescent="0.3">
      <c r="A4" s="132" t="s">
        <v>321</v>
      </c>
    </row>
    <row r="5" spans="1:1" ht="14" x14ac:dyDescent="0.3">
      <c r="A5" s="132"/>
    </row>
    <row r="6" spans="1:1" ht="14" x14ac:dyDescent="0.3">
      <c r="A6" s="132" t="s">
        <v>331</v>
      </c>
    </row>
    <row r="7" spans="1:1" ht="14" x14ac:dyDescent="0.3">
      <c r="A7" s="132"/>
    </row>
    <row r="8" spans="1:1" ht="14" x14ac:dyDescent="0.3">
      <c r="A8" s="132" t="s">
        <v>336</v>
      </c>
    </row>
    <row r="9" spans="1:1" ht="14" x14ac:dyDescent="0.3">
      <c r="A9" s="132" t="s">
        <v>324</v>
      </c>
    </row>
    <row r="10" spans="1:1" ht="28" x14ac:dyDescent="0.25">
      <c r="A10" s="420" t="s">
        <v>339</v>
      </c>
    </row>
    <row r="11" spans="1:1" ht="28" x14ac:dyDescent="0.25">
      <c r="A11" s="421" t="s">
        <v>334</v>
      </c>
    </row>
    <row r="12" spans="1:1" ht="14" x14ac:dyDescent="0.25">
      <c r="A12" s="419" t="s">
        <v>335</v>
      </c>
    </row>
    <row r="13" spans="1:1" ht="14" x14ac:dyDescent="0.3">
      <c r="A13" s="132"/>
    </row>
    <row r="14" spans="1:1" ht="14" x14ac:dyDescent="0.25">
      <c r="A14" s="418" t="s">
        <v>337</v>
      </c>
    </row>
    <row r="15" spans="1:1" ht="14" x14ac:dyDescent="0.3">
      <c r="A15" s="132"/>
    </row>
    <row r="16" spans="1:1" ht="14" x14ac:dyDescent="0.25">
      <c r="A16" s="418" t="s">
        <v>323</v>
      </c>
    </row>
    <row r="17" spans="1:1" ht="14" x14ac:dyDescent="0.25">
      <c r="A17" s="418"/>
    </row>
    <row r="18" spans="1:1" ht="14" x14ac:dyDescent="0.25">
      <c r="A18" s="418" t="s">
        <v>322</v>
      </c>
    </row>
    <row r="19" spans="1:1" ht="14" x14ac:dyDescent="0.3">
      <c r="A19" s="132"/>
    </row>
    <row r="20" spans="1:1" ht="14" x14ac:dyDescent="0.25">
      <c r="A20" s="418" t="s">
        <v>325</v>
      </c>
    </row>
    <row r="21" spans="1:1" ht="14" x14ac:dyDescent="0.3">
      <c r="A21" s="132"/>
    </row>
    <row r="22" spans="1:1" ht="14" x14ac:dyDescent="0.25">
      <c r="A22" s="418" t="s">
        <v>326</v>
      </c>
    </row>
    <row r="23" spans="1:1" ht="28" x14ac:dyDescent="0.3">
      <c r="A23" s="155" t="s">
        <v>327</v>
      </c>
    </row>
    <row r="24" spans="1:1" ht="28" x14ac:dyDescent="0.3">
      <c r="A24" s="155" t="s">
        <v>328</v>
      </c>
    </row>
    <row r="25" spans="1:1" ht="28" x14ac:dyDescent="0.3">
      <c r="A25" s="155" t="s">
        <v>338</v>
      </c>
    </row>
    <row r="26" spans="1:1" ht="14" x14ac:dyDescent="0.3">
      <c r="A26" s="132" t="s">
        <v>329</v>
      </c>
    </row>
    <row r="27" spans="1:1" ht="14" x14ac:dyDescent="0.3">
      <c r="A27" s="132" t="s">
        <v>330</v>
      </c>
    </row>
    <row r="28" spans="1:1" ht="14" x14ac:dyDescent="0.3">
      <c r="A28" s="132"/>
    </row>
  </sheetData>
  <sheetProtection sheet="1" objects="1" scenarios="1"/>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72"/>
  <sheetViews>
    <sheetView showGridLines="0" showZeros="0" tabSelected="1" showWhiteSpace="0" view="pageLayout" zoomScaleNormal="130" workbookViewId="0">
      <selection activeCell="D8" sqref="D8:I8"/>
    </sheetView>
  </sheetViews>
  <sheetFormatPr baseColWidth="10" defaultColWidth="11.453125" defaultRowHeight="14" x14ac:dyDescent="0.3"/>
  <cols>
    <col min="1" max="1" width="18.7265625" style="277" customWidth="1"/>
    <col min="2" max="2" width="19.54296875" style="277" customWidth="1"/>
    <col min="3" max="3" width="14.453125" style="277" customWidth="1"/>
    <col min="4" max="4" width="18.7265625" style="277" customWidth="1"/>
    <col min="5" max="7" width="18.7265625" style="277" hidden="1" customWidth="1"/>
    <col min="8" max="8" width="14.7265625" style="277" customWidth="1"/>
    <col min="9" max="9" width="12.7265625" style="277" customWidth="1"/>
    <col min="10" max="10" width="7.26953125" style="277" customWidth="1"/>
    <col min="11" max="11" width="15" style="277" customWidth="1"/>
    <col min="12" max="12" width="10.1796875" style="277" customWidth="1"/>
    <col min="13" max="18" width="11.453125" style="277" customWidth="1"/>
    <col min="19" max="16384" width="11.453125" style="277"/>
  </cols>
  <sheetData>
    <row r="1" spans="1:12" ht="9" customHeight="1" thickBot="1" x14ac:dyDescent="0.35"/>
    <row r="2" spans="1:12" x14ac:dyDescent="0.3">
      <c r="A2" s="424" t="s">
        <v>401</v>
      </c>
      <c r="B2" s="425"/>
      <c r="C2" s="425"/>
      <c r="D2" s="425"/>
      <c r="E2" s="425"/>
      <c r="F2" s="425"/>
      <c r="G2" s="425"/>
      <c r="H2" s="425"/>
      <c r="I2" s="425"/>
      <c r="J2" s="425"/>
      <c r="K2" s="425"/>
      <c r="L2" s="426"/>
    </row>
    <row r="3" spans="1:12" x14ac:dyDescent="0.3">
      <c r="A3" s="427"/>
      <c r="B3" s="428"/>
      <c r="C3" s="428"/>
      <c r="D3" s="428"/>
      <c r="E3" s="428"/>
      <c r="F3" s="428"/>
      <c r="G3" s="428"/>
      <c r="H3" s="428"/>
      <c r="I3" s="428"/>
      <c r="J3" s="428"/>
      <c r="K3" s="428"/>
      <c r="L3" s="429"/>
    </row>
    <row r="4" spans="1:12" ht="14.5" thickBot="1" x14ac:dyDescent="0.35">
      <c r="A4" s="430"/>
      <c r="B4" s="431"/>
      <c r="C4" s="431"/>
      <c r="D4" s="431"/>
      <c r="E4" s="431"/>
      <c r="F4" s="431"/>
      <c r="G4" s="431"/>
      <c r="H4" s="431"/>
      <c r="I4" s="431"/>
      <c r="J4" s="431"/>
      <c r="K4" s="431"/>
      <c r="L4" s="432"/>
    </row>
    <row r="5" spans="1:12" ht="18" customHeight="1" x14ac:dyDescent="0.4">
      <c r="A5" s="278"/>
      <c r="B5" s="279"/>
      <c r="C5" s="279"/>
      <c r="D5" s="279"/>
      <c r="E5" s="279"/>
      <c r="F5" s="279"/>
      <c r="G5" s="279"/>
      <c r="H5" s="279"/>
      <c r="I5" s="279"/>
      <c r="J5" s="279"/>
      <c r="K5" s="279"/>
      <c r="L5" s="279"/>
    </row>
    <row r="6" spans="1:12" ht="18" customHeight="1" x14ac:dyDescent="0.35">
      <c r="A6" s="280" t="s">
        <v>52</v>
      </c>
      <c r="B6" s="280"/>
      <c r="C6" s="280"/>
      <c r="D6" s="437" t="s">
        <v>312</v>
      </c>
      <c r="E6" s="437"/>
      <c r="F6" s="437"/>
      <c r="G6" s="437"/>
      <c r="H6" s="437"/>
      <c r="I6" s="437"/>
      <c r="J6" s="437"/>
      <c r="K6" s="437"/>
      <c r="L6" s="437"/>
    </row>
    <row r="7" spans="1:12" ht="18" customHeight="1" x14ac:dyDescent="0.35">
      <c r="A7" s="280"/>
      <c r="B7" s="280"/>
      <c r="C7" s="280"/>
      <c r="D7" s="442"/>
      <c r="E7" s="442"/>
      <c r="F7" s="442"/>
      <c r="G7" s="442"/>
      <c r="H7" s="442"/>
      <c r="I7" s="442"/>
      <c r="J7" s="442"/>
      <c r="K7" s="442"/>
      <c r="L7" s="442"/>
    </row>
    <row r="8" spans="1:12" ht="18" customHeight="1" x14ac:dyDescent="0.35">
      <c r="A8" s="441" t="s">
        <v>186</v>
      </c>
      <c r="B8" s="441"/>
      <c r="C8" s="280"/>
      <c r="D8" s="440" t="s">
        <v>313</v>
      </c>
      <c r="E8" s="440"/>
      <c r="F8" s="440"/>
      <c r="G8" s="440"/>
      <c r="H8" s="440"/>
      <c r="I8" s="440"/>
      <c r="J8" s="281"/>
      <c r="K8" s="281"/>
      <c r="L8" s="281"/>
    </row>
    <row r="9" spans="1:12" ht="18" customHeight="1" x14ac:dyDescent="0.35">
      <c r="A9" s="281" t="s">
        <v>218</v>
      </c>
      <c r="B9" s="281"/>
      <c r="C9" s="280"/>
      <c r="D9" s="459"/>
      <c r="E9" s="459"/>
      <c r="F9" s="459"/>
      <c r="G9" s="459"/>
      <c r="H9" s="459"/>
      <c r="I9" s="459"/>
      <c r="J9" s="459"/>
      <c r="K9" s="459"/>
      <c r="L9" s="459"/>
    </row>
    <row r="10" spans="1:12" ht="11.25" customHeight="1" x14ac:dyDescent="0.35">
      <c r="A10" s="280"/>
      <c r="B10" s="280"/>
      <c r="C10" s="280"/>
      <c r="D10" s="280"/>
      <c r="E10" s="280"/>
      <c r="F10" s="280"/>
      <c r="G10" s="280"/>
      <c r="H10" s="280"/>
      <c r="I10" s="280"/>
      <c r="J10" s="280"/>
      <c r="K10" s="280"/>
      <c r="L10" s="280"/>
    </row>
    <row r="11" spans="1:12" ht="18" customHeight="1" x14ac:dyDescent="0.35">
      <c r="A11" s="280" t="s">
        <v>53</v>
      </c>
      <c r="B11" s="280"/>
      <c r="C11" s="280"/>
      <c r="D11" s="437"/>
      <c r="E11" s="437"/>
      <c r="F11" s="437"/>
      <c r="G11" s="437"/>
      <c r="H11" s="437"/>
      <c r="I11" s="437"/>
      <c r="J11" s="437"/>
      <c r="K11" s="437"/>
      <c r="L11" s="437"/>
    </row>
    <row r="12" spans="1:12" ht="18" customHeight="1" x14ac:dyDescent="0.35">
      <c r="A12" s="280"/>
      <c r="B12" s="282"/>
      <c r="C12" s="282"/>
      <c r="D12" s="282"/>
      <c r="E12" s="282"/>
      <c r="F12" s="282"/>
      <c r="G12" s="282"/>
      <c r="H12" s="282"/>
      <c r="I12" s="282"/>
      <c r="J12" s="282"/>
      <c r="K12" s="282"/>
      <c r="L12" s="282"/>
    </row>
    <row r="13" spans="1:12" ht="18" customHeight="1" x14ac:dyDescent="0.35">
      <c r="A13" s="280" t="s">
        <v>54</v>
      </c>
      <c r="B13" s="439"/>
      <c r="C13" s="439"/>
      <c r="D13" s="280"/>
      <c r="E13" s="280"/>
      <c r="F13" s="280"/>
      <c r="G13" s="280"/>
      <c r="H13" s="283" t="s">
        <v>55</v>
      </c>
      <c r="I13" s="439"/>
      <c r="J13" s="439"/>
      <c r="K13" s="439"/>
      <c r="L13" s="439"/>
    </row>
    <row r="14" spans="1:12" ht="18" customHeight="1" x14ac:dyDescent="0.35">
      <c r="A14" s="280" t="s">
        <v>56</v>
      </c>
      <c r="B14" s="438"/>
      <c r="C14" s="438"/>
      <c r="D14" s="280"/>
      <c r="E14" s="280"/>
      <c r="F14" s="280"/>
      <c r="G14" s="280"/>
      <c r="H14" s="283" t="s">
        <v>57</v>
      </c>
      <c r="I14" s="443"/>
      <c r="J14" s="443"/>
      <c r="K14" s="443"/>
      <c r="L14" s="443"/>
    </row>
    <row r="15" spans="1:12" ht="18" customHeight="1" x14ac:dyDescent="0.35">
      <c r="A15" s="280" t="s">
        <v>249</v>
      </c>
      <c r="B15" s="438"/>
      <c r="C15" s="438"/>
      <c r="D15" s="280"/>
      <c r="E15" s="280"/>
      <c r="F15" s="280"/>
      <c r="G15" s="280"/>
      <c r="H15" s="283"/>
      <c r="I15" s="284"/>
      <c r="J15" s="284"/>
      <c r="K15" s="284"/>
      <c r="L15" s="284"/>
    </row>
    <row r="16" spans="1:12" ht="18" customHeight="1" x14ac:dyDescent="0.35">
      <c r="A16" s="280"/>
      <c r="B16" s="280"/>
      <c r="C16" s="280"/>
      <c r="D16" s="285"/>
      <c r="E16" s="285"/>
      <c r="F16" s="285"/>
      <c r="G16" s="285"/>
      <c r="H16" s="280"/>
      <c r="I16" s="280"/>
      <c r="J16" s="280"/>
      <c r="K16" s="280"/>
      <c r="L16" s="280"/>
    </row>
    <row r="17" spans="1:12" ht="18" customHeight="1" x14ac:dyDescent="0.35">
      <c r="A17" s="280" t="s">
        <v>58</v>
      </c>
      <c r="B17" s="280"/>
      <c r="C17" s="280"/>
      <c r="D17" s="439"/>
      <c r="E17" s="439"/>
      <c r="F17" s="439"/>
      <c r="G17" s="439"/>
      <c r="H17" s="439"/>
      <c r="I17" s="439"/>
      <c r="J17" s="439"/>
      <c r="K17" s="439"/>
      <c r="L17" s="439"/>
    </row>
    <row r="18" spans="1:12" ht="18" customHeight="1" x14ac:dyDescent="0.35">
      <c r="A18" s="280"/>
      <c r="B18" s="280"/>
      <c r="C18" s="280"/>
      <c r="D18" s="438"/>
      <c r="E18" s="438"/>
      <c r="F18" s="438"/>
      <c r="G18" s="438"/>
      <c r="H18" s="438"/>
      <c r="I18" s="438"/>
      <c r="J18" s="438"/>
      <c r="K18" s="438"/>
      <c r="L18" s="438"/>
    </row>
    <row r="19" spans="1:12" ht="18" customHeight="1" x14ac:dyDescent="0.35">
      <c r="A19" s="286"/>
      <c r="B19" s="280"/>
      <c r="C19" s="280"/>
      <c r="D19" s="280"/>
      <c r="E19" s="280"/>
      <c r="F19" s="280"/>
      <c r="G19" s="280"/>
      <c r="H19" s="287"/>
      <c r="I19" s="287"/>
      <c r="J19" s="287"/>
      <c r="K19" s="287"/>
      <c r="L19" s="287"/>
    </row>
    <row r="20" spans="1:12" ht="18" customHeight="1" x14ac:dyDescent="0.35">
      <c r="A20" s="280" t="s">
        <v>59</v>
      </c>
      <c r="B20" s="280"/>
      <c r="C20" s="280"/>
      <c r="D20" s="437"/>
      <c r="E20" s="437"/>
      <c r="F20" s="437"/>
      <c r="G20" s="437"/>
      <c r="H20" s="437"/>
      <c r="I20" s="437"/>
      <c r="J20" s="437"/>
      <c r="K20" s="437"/>
      <c r="L20" s="437"/>
    </row>
    <row r="21" spans="1:12" ht="18" customHeight="1" x14ac:dyDescent="0.35">
      <c r="A21" s="280"/>
      <c r="B21" s="280"/>
      <c r="C21" s="280"/>
      <c r="D21" s="280"/>
      <c r="E21" s="280"/>
      <c r="F21" s="280"/>
      <c r="G21" s="280"/>
      <c r="H21" s="280"/>
      <c r="I21" s="280"/>
      <c r="J21" s="280"/>
      <c r="K21" s="280"/>
      <c r="L21" s="280"/>
    </row>
    <row r="22" spans="1:12" ht="18" customHeight="1" x14ac:dyDescent="0.35">
      <c r="A22" s="280" t="s">
        <v>54</v>
      </c>
      <c r="B22" s="439"/>
      <c r="C22" s="439"/>
      <c r="D22" s="288"/>
      <c r="E22" s="288"/>
      <c r="F22" s="288"/>
      <c r="G22" s="288"/>
      <c r="H22" s="283" t="s">
        <v>55</v>
      </c>
      <c r="I22" s="439"/>
      <c r="J22" s="439"/>
      <c r="K22" s="439"/>
      <c r="L22" s="439"/>
    </row>
    <row r="23" spans="1:12" ht="18" customHeight="1" x14ac:dyDescent="0.35">
      <c r="A23" s="280" t="s">
        <v>56</v>
      </c>
      <c r="B23" s="438"/>
      <c r="C23" s="438"/>
      <c r="D23" s="288"/>
      <c r="E23" s="288"/>
      <c r="F23" s="288"/>
      <c r="G23" s="288"/>
      <c r="H23" s="283" t="s">
        <v>57</v>
      </c>
      <c r="I23" s="443"/>
      <c r="J23" s="443"/>
      <c r="K23" s="443"/>
      <c r="L23" s="443"/>
    </row>
    <row r="24" spans="1:12" ht="18" customHeight="1" x14ac:dyDescent="0.35">
      <c r="A24" s="280"/>
      <c r="B24" s="287"/>
      <c r="C24" s="287"/>
      <c r="D24" s="288"/>
      <c r="E24" s="288"/>
      <c r="F24" s="288"/>
      <c r="G24" s="288"/>
      <c r="H24" s="283"/>
      <c r="I24" s="289"/>
      <c r="J24" s="289"/>
      <c r="K24" s="289"/>
      <c r="L24" s="289"/>
    </row>
    <row r="25" spans="1:12" ht="18" customHeight="1" x14ac:dyDescent="0.35">
      <c r="A25" s="280"/>
      <c r="B25" s="287"/>
      <c r="C25" s="287"/>
      <c r="D25" s="288"/>
      <c r="E25" s="288"/>
      <c r="F25" s="288"/>
      <c r="G25" s="288"/>
      <c r="H25" s="283"/>
      <c r="I25" s="289"/>
      <c r="J25" s="289"/>
      <c r="K25" s="289"/>
      <c r="L25" s="289"/>
    </row>
    <row r="26" spans="1:12" ht="18" customHeight="1" x14ac:dyDescent="0.35">
      <c r="A26" s="280"/>
      <c r="B26" s="287"/>
      <c r="C26" s="287"/>
      <c r="D26" s="288"/>
      <c r="E26" s="288"/>
      <c r="F26" s="288"/>
      <c r="G26" s="288"/>
      <c r="H26" s="283"/>
      <c r="I26" s="289"/>
      <c r="J26" s="289"/>
      <c r="K26" s="289"/>
      <c r="L26" s="289"/>
    </row>
    <row r="27" spans="1:12" ht="18" customHeight="1" thickBot="1" x14ac:dyDescent="0.45">
      <c r="A27" s="446"/>
      <c r="B27" s="446"/>
      <c r="C27" s="446"/>
      <c r="D27" s="446"/>
      <c r="E27" s="446"/>
      <c r="F27" s="446"/>
      <c r="G27" s="446"/>
      <c r="H27" s="446"/>
      <c r="I27" s="446"/>
      <c r="J27" s="446"/>
      <c r="K27" s="446"/>
      <c r="L27" s="446"/>
    </row>
    <row r="28" spans="1:12" ht="18" customHeight="1" x14ac:dyDescent="0.4">
      <c r="A28" s="447" t="s">
        <v>177</v>
      </c>
      <c r="B28" s="448"/>
      <c r="C28" s="448"/>
      <c r="D28" s="448"/>
      <c r="E28" s="448"/>
      <c r="F28" s="448"/>
      <c r="G28" s="448"/>
      <c r="H28" s="448"/>
      <c r="I28" s="448"/>
      <c r="J28" s="448"/>
      <c r="K28" s="448"/>
      <c r="L28" s="449"/>
    </row>
    <row r="29" spans="1:12" ht="18" customHeight="1" x14ac:dyDescent="0.4">
      <c r="A29" s="450" t="s">
        <v>50</v>
      </c>
      <c r="B29" s="451"/>
      <c r="C29" s="451"/>
      <c r="D29" s="451"/>
      <c r="E29" s="451"/>
      <c r="F29" s="451"/>
      <c r="G29" s="451"/>
      <c r="H29" s="451"/>
      <c r="I29" s="451"/>
      <c r="J29" s="451"/>
      <c r="K29" s="451"/>
      <c r="L29" s="452"/>
    </row>
    <row r="30" spans="1:12" ht="18" customHeight="1" thickBot="1" x14ac:dyDescent="0.45">
      <c r="A30" s="453" t="s">
        <v>51</v>
      </c>
      <c r="B30" s="454"/>
      <c r="C30" s="454"/>
      <c r="D30" s="454"/>
      <c r="E30" s="454"/>
      <c r="F30" s="454"/>
      <c r="G30" s="454"/>
      <c r="H30" s="454"/>
      <c r="I30" s="454"/>
      <c r="J30" s="454"/>
      <c r="K30" s="454"/>
      <c r="L30" s="455"/>
    </row>
    <row r="31" spans="1:12" ht="18" customHeight="1" x14ac:dyDescent="0.4">
      <c r="A31" s="290"/>
      <c r="B31" s="290"/>
      <c r="C31" s="290"/>
      <c r="D31" s="290"/>
      <c r="E31" s="290"/>
      <c r="F31" s="290"/>
      <c r="G31" s="290"/>
      <c r="H31" s="290"/>
      <c r="I31" s="290"/>
      <c r="J31" s="290"/>
      <c r="K31" s="290"/>
      <c r="L31" s="290"/>
    </row>
    <row r="32" spans="1:12" ht="18" customHeight="1" x14ac:dyDescent="0.4">
      <c r="A32" s="290"/>
      <c r="B32" s="291" t="s">
        <v>227</v>
      </c>
      <c r="C32" s="291"/>
      <c r="D32" s="341" t="s">
        <v>228</v>
      </c>
      <c r="E32" s="290"/>
      <c r="F32" s="290"/>
      <c r="G32" s="290"/>
      <c r="H32" s="290"/>
      <c r="I32" s="456" t="s">
        <v>244</v>
      </c>
      <c r="J32" s="457"/>
      <c r="K32" s="458"/>
      <c r="L32" s="292"/>
    </row>
    <row r="33" spans="1:13" ht="6" customHeight="1" x14ac:dyDescent="0.4">
      <c r="A33" s="290"/>
      <c r="B33" s="290"/>
      <c r="C33" s="290"/>
      <c r="D33" s="290"/>
      <c r="E33" s="290"/>
      <c r="F33" s="290"/>
      <c r="G33" s="290"/>
      <c r="H33" s="290"/>
    </row>
    <row r="34" spans="1:13" ht="18" customHeight="1" x14ac:dyDescent="0.35">
      <c r="A34" s="291"/>
      <c r="B34" s="293" t="s">
        <v>178</v>
      </c>
      <c r="C34" s="294" t="str">
        <f>D37</f>
        <v>Wohnstätte</v>
      </c>
      <c r="D34" s="295">
        <f>IF(D37="Wohnstätte",K34+K36,K37)</f>
        <v>32</v>
      </c>
      <c r="E34" s="277" t="s">
        <v>180</v>
      </c>
      <c r="F34" s="277" t="s">
        <v>49</v>
      </c>
      <c r="H34" s="296"/>
      <c r="I34" s="436" t="s">
        <v>219</v>
      </c>
      <c r="J34" s="436"/>
      <c r="K34" s="342">
        <v>7</v>
      </c>
      <c r="M34" s="297"/>
    </row>
    <row r="35" spans="1:13" ht="4.5" customHeight="1" x14ac:dyDescent="0.4">
      <c r="A35" s="290"/>
      <c r="B35" s="290"/>
      <c r="C35" s="290"/>
      <c r="D35" s="290"/>
      <c r="E35" s="290"/>
      <c r="F35" s="290"/>
      <c r="G35" s="290"/>
      <c r="H35" s="290"/>
      <c r="K35" s="298"/>
      <c r="M35" s="299"/>
    </row>
    <row r="36" spans="1:13" ht="18" customHeight="1" x14ac:dyDescent="0.4">
      <c r="A36" s="290"/>
      <c r="B36" s="300" t="str">
        <f>IF(C34="Wohnstätte", "ohne Plätze AWG",0)</f>
        <v>ohne Plätze AWG</v>
      </c>
      <c r="D36" s="301" t="s">
        <v>243</v>
      </c>
      <c r="E36" s="290"/>
      <c r="F36" s="290"/>
      <c r="G36" s="290"/>
      <c r="H36" s="290"/>
      <c r="I36" s="436" t="s">
        <v>220</v>
      </c>
      <c r="J36" s="436"/>
      <c r="K36" s="342">
        <v>25</v>
      </c>
      <c r="M36" s="297"/>
    </row>
    <row r="37" spans="1:13" ht="18" customHeight="1" x14ac:dyDescent="0.35">
      <c r="A37" s="291"/>
      <c r="B37" s="291"/>
      <c r="C37" s="291"/>
      <c r="D37" s="302" t="str">
        <f>IF(D8="bitte auswählen", "-",IF(D8="Wohnstätte Interne Tagesstruktur","Wohnstätte",IF(D8="Wohnstätte Externe Tagesstruktur","Wohnstätte","AWG")))</f>
        <v>Wohnstätte</v>
      </c>
      <c r="E37" s="303"/>
      <c r="F37" s="303"/>
      <c r="G37" s="303"/>
      <c r="I37" s="436" t="s">
        <v>49</v>
      </c>
      <c r="J37" s="436"/>
      <c r="K37" s="342"/>
      <c r="L37" s="304"/>
    </row>
    <row r="38" spans="1:13" ht="18" customHeight="1" x14ac:dyDescent="0.35">
      <c r="A38" s="291"/>
      <c r="B38" s="291"/>
      <c r="C38" s="291"/>
      <c r="D38" s="305"/>
      <c r="E38" s="303"/>
      <c r="F38" s="303"/>
      <c r="G38" s="303"/>
      <c r="I38" s="306"/>
      <c r="J38" s="306"/>
      <c r="K38" s="307"/>
      <c r="L38" s="304"/>
    </row>
    <row r="39" spans="1:13" ht="18" customHeight="1" x14ac:dyDescent="0.35">
      <c r="A39" s="291"/>
      <c r="B39" s="291"/>
      <c r="C39" s="291"/>
      <c r="D39" s="305"/>
      <c r="E39" s="303"/>
      <c r="F39" s="303"/>
      <c r="G39" s="303"/>
      <c r="I39" s="306"/>
      <c r="J39" s="306"/>
      <c r="K39" s="307"/>
      <c r="L39" s="304"/>
    </row>
    <row r="40" spans="1:13" ht="18" customHeight="1" x14ac:dyDescent="0.35">
      <c r="A40" s="291"/>
      <c r="B40" s="291"/>
      <c r="C40" s="291"/>
      <c r="D40" s="308"/>
      <c r="E40" s="125">
        <v>0.7</v>
      </c>
      <c r="F40" s="125">
        <v>0.85</v>
      </c>
      <c r="G40" s="125"/>
      <c r="L40" s="308"/>
    </row>
    <row r="41" spans="1:13" ht="15" customHeight="1" x14ac:dyDescent="0.35">
      <c r="A41" s="460" t="s">
        <v>187</v>
      </c>
      <c r="B41" s="464" t="s">
        <v>60</v>
      </c>
      <c r="C41" s="464"/>
      <c r="D41" s="309">
        <f t="shared" ref="D41" si="0">SUM(D42:D44)</f>
        <v>1418.63</v>
      </c>
      <c r="E41" s="310"/>
      <c r="F41" s="310"/>
      <c r="G41" s="310"/>
      <c r="I41" s="310"/>
      <c r="J41" s="310"/>
      <c r="K41" s="291"/>
      <c r="L41" s="311"/>
    </row>
    <row r="42" spans="1:13" ht="15" customHeight="1" x14ac:dyDescent="0.35">
      <c r="A42" s="461"/>
      <c r="B42" s="465" t="s">
        <v>61</v>
      </c>
      <c r="C42" s="465"/>
      <c r="D42" s="343">
        <v>857.5</v>
      </c>
      <c r="E42" s="312">
        <f>D42/(D42+D43)</f>
        <v>0.77839999999999998</v>
      </c>
      <c r="F42" s="312">
        <f>D42/(D42+D43)</f>
        <v>0.77839999999999998</v>
      </c>
      <c r="G42" s="312"/>
      <c r="H42" s="313">
        <f>IF(D52=D42,0,D52)</f>
        <v>857.54</v>
      </c>
      <c r="I42" s="313" t="str">
        <f>IF(H42=0,0,"zur Berechnung herangezogene Wohnfläche")</f>
        <v>zur Berechnung herangezogene Wohnfläche</v>
      </c>
      <c r="L42" s="314"/>
      <c r="M42" s="296"/>
    </row>
    <row r="43" spans="1:13" ht="15" customHeight="1" x14ac:dyDescent="0.35">
      <c r="A43" s="461"/>
      <c r="B43" s="465" t="s">
        <v>62</v>
      </c>
      <c r="C43" s="465"/>
      <c r="D43" s="343">
        <v>244.17</v>
      </c>
      <c r="E43" s="312">
        <f>D43/(D42+D43)</f>
        <v>0.22159999999999999</v>
      </c>
      <c r="F43" s="312">
        <f>D43/(D42+D43)</f>
        <v>0.22159999999999999</v>
      </c>
      <c r="G43" s="313">
        <f>IF(D37="wohnstätte",E56,IF(D37="AWG",F56,""))</f>
        <v>244.13</v>
      </c>
      <c r="H43" s="313">
        <f>IF(G43=D43,0,G43)</f>
        <v>244.13</v>
      </c>
      <c r="I43" s="313" t="str">
        <f>IF(H43=0,0,"zur Berechnung herangezogene Fachleistungsfläche")</f>
        <v>zur Berechnung herangezogene Fachleistungsfläche</v>
      </c>
      <c r="J43" s="313"/>
      <c r="K43" s="313"/>
      <c r="L43" s="315"/>
    </row>
    <row r="44" spans="1:13" ht="15" customHeight="1" x14ac:dyDescent="0.35">
      <c r="A44" s="316" t="str">
        <f>C34</f>
        <v>Wohnstätte</v>
      </c>
      <c r="B44" s="465" t="s">
        <v>63</v>
      </c>
      <c r="C44" s="465"/>
      <c r="D44" s="343">
        <v>316.95999999999998</v>
      </c>
      <c r="E44" s="312">
        <f>IF(E42&gt;E40,E42,E40)</f>
        <v>0.77839999999999998</v>
      </c>
      <c r="F44" s="312">
        <f>IF(F42&gt;F40,F42,F40)</f>
        <v>0.85</v>
      </c>
      <c r="G44" s="312"/>
      <c r="H44" s="317">
        <f>IF(D50=E50,0,E50)</f>
        <v>0</v>
      </c>
      <c r="I44" s="318">
        <f>IF(H44&gt;0,"erhobener - Flächenanteil Fachleistung",0)</f>
        <v>0</v>
      </c>
      <c r="J44" s="319"/>
      <c r="K44" s="319"/>
    </row>
    <row r="45" spans="1:13" ht="18" customHeight="1" x14ac:dyDescent="0.35">
      <c r="A45" s="294"/>
      <c r="B45" s="291"/>
      <c r="C45" s="291"/>
      <c r="D45" s="310"/>
      <c r="E45" s="310"/>
      <c r="F45" s="310"/>
      <c r="G45" s="310"/>
    </row>
    <row r="46" spans="1:13" ht="18" customHeight="1" x14ac:dyDescent="0.35">
      <c r="A46" s="320" t="s">
        <v>179</v>
      </c>
      <c r="B46" s="466" t="s">
        <v>64</v>
      </c>
      <c r="C46" s="467"/>
      <c r="D46" s="309">
        <f>D52/D34</f>
        <v>26.8</v>
      </c>
      <c r="E46" s="321">
        <f>IF(D37="Wohnstätte",E44,IF(D37="AWG",F44,""))</f>
        <v>0.77839999999999998</v>
      </c>
      <c r="F46" s="321">
        <f>IF(D37="Wohnstätte",E44,IF(D37="AWG",F44,""))</f>
        <v>0.77839999999999998</v>
      </c>
      <c r="G46" s="310"/>
      <c r="H46" s="317">
        <f>IF(D43="Wohnstätte",E58,F58)</f>
        <v>0</v>
      </c>
      <c r="I46" s="313" t="str">
        <f>IF(H46=0,"", "prozentulale Abweichung zur erhobenen Wohnfläche")</f>
        <v/>
      </c>
      <c r="J46" s="313"/>
      <c r="K46" s="318"/>
      <c r="L46" s="291"/>
    </row>
    <row r="47" spans="1:13" ht="18" customHeight="1" x14ac:dyDescent="0.35">
      <c r="A47" s="433" t="str">
        <f>A44</f>
        <v>Wohnstätte</v>
      </c>
      <c r="B47" s="466" t="s">
        <v>65</v>
      </c>
      <c r="C47" s="467"/>
      <c r="D47" s="309">
        <f>D43/D34</f>
        <v>7.63</v>
      </c>
      <c r="E47" s="310" t="str">
        <f>IF(E44=70%,"Anpassung an Regelung RV","")</f>
        <v/>
      </c>
      <c r="F47" s="310" t="str">
        <f>IF(F44=85%,"Anpassung an Regelung RV","")</f>
        <v>Anpassung an Regelung RV</v>
      </c>
      <c r="G47" s="310"/>
      <c r="H47" s="317">
        <f>IF(D37="Wohnstätte",E57,F57)</f>
        <v>-2.0000000000000001E-4</v>
      </c>
      <c r="I47" s="313" t="str">
        <f>IF(H47=0,"", "prozentulale Abweichung zur erhobenen Fachfläche")</f>
        <v>prozentulale Abweichung zur erhobenen Fachfläche</v>
      </c>
      <c r="J47" s="313"/>
      <c r="K47" s="318"/>
      <c r="L47" s="291"/>
    </row>
    <row r="48" spans="1:13" ht="15" customHeight="1" thickBot="1" x14ac:dyDescent="0.4">
      <c r="A48" s="433"/>
      <c r="B48" s="468" t="s">
        <v>66</v>
      </c>
      <c r="C48" s="469"/>
      <c r="D48" s="322">
        <f>D44/D34</f>
        <v>9.91</v>
      </c>
      <c r="E48" s="310"/>
      <c r="F48" s="310"/>
      <c r="G48" s="310"/>
    </row>
    <row r="49" spans="1:13" ht="15" customHeight="1" x14ac:dyDescent="0.35">
      <c r="A49" s="434" t="str">
        <f>IF(D37="Wohnstätte",E47,IF(D37="AWG",F47,""))</f>
        <v/>
      </c>
      <c r="B49" s="470" t="s">
        <v>67</v>
      </c>
      <c r="C49" s="471"/>
      <c r="D49" s="323">
        <f>IF(D37="Wohnstätte",E44,IF(D37="AWG",F44,""))</f>
        <v>0.77839999999999998</v>
      </c>
      <c r="E49" s="324">
        <f>IF(D37="wohnstätte",E42,IF(D37="AWG",F42,""))</f>
        <v>0.77839999999999998</v>
      </c>
      <c r="F49" s="325"/>
      <c r="G49" s="325"/>
      <c r="H49" s="317">
        <f>IF(D49=E49,0,E49)</f>
        <v>0</v>
      </c>
      <c r="I49" s="313">
        <f>IF(H49&gt;0,"erhobener - Flächenanteil Wohnfläche",0)</f>
        <v>0</v>
      </c>
      <c r="J49" s="318"/>
      <c r="K49" s="313"/>
    </row>
    <row r="50" spans="1:13" ht="15.75" customHeight="1" thickBot="1" x14ac:dyDescent="0.4">
      <c r="A50" s="435"/>
      <c r="B50" s="462" t="s">
        <v>68</v>
      </c>
      <c r="C50" s="463"/>
      <c r="D50" s="326">
        <f>IF(D42=0,0,100%-D49)</f>
        <v>0.22159999999999999</v>
      </c>
      <c r="E50" s="324">
        <f>IF(D37="wohnstätte",E43,IF(D37="AWG",F43,""))</f>
        <v>0.22159999999999999</v>
      </c>
      <c r="F50" s="325"/>
      <c r="G50" s="325"/>
      <c r="H50" s="317">
        <f>IF(D50=E50,0,E50)</f>
        <v>0</v>
      </c>
      <c r="I50" s="313">
        <f>IF(H50&gt;0,"erhobener - Flächenanteil Fachleistungsfläche",0)</f>
        <v>0</v>
      </c>
    </row>
    <row r="51" spans="1:13" ht="18" customHeight="1" x14ac:dyDescent="0.35">
      <c r="A51" s="303"/>
      <c r="B51" s="327"/>
      <c r="C51" s="327"/>
      <c r="D51" s="325"/>
      <c r="E51" s="325" t="s">
        <v>181</v>
      </c>
      <c r="F51" s="325"/>
      <c r="G51" s="325"/>
      <c r="I51" s="325"/>
      <c r="J51" s="325"/>
      <c r="K51" s="314"/>
      <c r="L51" s="314"/>
    </row>
    <row r="52" spans="1:13" ht="18" customHeight="1" x14ac:dyDescent="0.35">
      <c r="A52" s="328" t="s">
        <v>174</v>
      </c>
      <c r="D52" s="309">
        <f>(D42+D43)*D49</f>
        <v>857.54</v>
      </c>
      <c r="E52" s="310">
        <f>D42</f>
        <v>857.5</v>
      </c>
      <c r="F52" s="310">
        <f>D42</f>
        <v>857.5</v>
      </c>
      <c r="G52" s="310"/>
      <c r="L52" s="329"/>
    </row>
    <row r="53" spans="1:13" ht="18" customHeight="1" x14ac:dyDescent="0.35">
      <c r="A53" s="330" t="s">
        <v>69</v>
      </c>
      <c r="B53" s="331"/>
      <c r="C53" s="331"/>
      <c r="D53" s="344">
        <v>448.13</v>
      </c>
      <c r="E53" s="332">
        <f>D53</f>
        <v>448.13</v>
      </c>
      <c r="F53" s="332">
        <f>E53</f>
        <v>448.13</v>
      </c>
      <c r="G53" s="332"/>
    </row>
    <row r="54" spans="1:13" ht="18" customHeight="1" x14ac:dyDescent="0.35">
      <c r="A54" s="330" t="s">
        <v>70</v>
      </c>
      <c r="B54" s="331"/>
      <c r="C54" s="331"/>
      <c r="D54" s="309">
        <f>D52-D53</f>
        <v>409.41</v>
      </c>
      <c r="E54" s="310">
        <f>E52-E53</f>
        <v>409.37</v>
      </c>
      <c r="F54" s="310">
        <f>F52-F53</f>
        <v>409.37</v>
      </c>
      <c r="G54" s="310"/>
    </row>
    <row r="55" spans="1:13" ht="18" customHeight="1" x14ac:dyDescent="0.35">
      <c r="A55" s="291"/>
      <c r="B55" s="291"/>
      <c r="C55" s="291"/>
      <c r="E55" s="325" t="s">
        <v>182</v>
      </c>
    </row>
    <row r="56" spans="1:13" ht="18" hidden="1" customHeight="1" x14ac:dyDescent="0.35">
      <c r="A56" s="328" t="s">
        <v>71</v>
      </c>
      <c r="B56" s="331"/>
      <c r="C56" s="331"/>
      <c r="D56" s="309">
        <f>D46</f>
        <v>26.8</v>
      </c>
      <c r="E56" s="310">
        <f>D42+D43-D52</f>
        <v>244.13</v>
      </c>
      <c r="F56" s="310">
        <f>D42+D43-D52</f>
        <v>244.13</v>
      </c>
      <c r="G56" s="310"/>
      <c r="H56" s="333"/>
      <c r="I56" s="310"/>
      <c r="J56" s="310"/>
      <c r="K56" s="314"/>
      <c r="L56" s="314"/>
      <c r="M56" s="125"/>
    </row>
    <row r="57" spans="1:13" ht="18" hidden="1" customHeight="1" x14ac:dyDescent="0.35">
      <c r="A57" s="334" t="s">
        <v>72</v>
      </c>
      <c r="B57" s="328"/>
      <c r="C57" s="331"/>
      <c r="D57" s="335">
        <f>D56-D58</f>
        <v>14.01</v>
      </c>
      <c r="E57" s="312">
        <f>E56/D43-100%</f>
        <v>-2.0000000000000001E-4</v>
      </c>
      <c r="F57" s="312">
        <f>F56/D43-100%</f>
        <v>-2.0000000000000001E-4</v>
      </c>
      <c r="G57" s="312" t="s">
        <v>183</v>
      </c>
      <c r="H57" s="333"/>
      <c r="I57" s="310"/>
      <c r="J57" s="310" t="s">
        <v>184</v>
      </c>
      <c r="K57" s="314"/>
      <c r="L57" s="314"/>
    </row>
    <row r="58" spans="1:13" ht="18" hidden="1" customHeight="1" x14ac:dyDescent="0.35">
      <c r="A58" s="330" t="s">
        <v>73</v>
      </c>
      <c r="B58" s="336"/>
      <c r="C58" s="336"/>
      <c r="D58" s="309">
        <f>D54/D34</f>
        <v>12.79</v>
      </c>
      <c r="E58" s="321">
        <f>D52/D42-100%</f>
        <v>0</v>
      </c>
      <c r="F58" s="321">
        <f>D52/D42-100%</f>
        <v>0</v>
      </c>
      <c r="G58" s="321" t="s">
        <v>157</v>
      </c>
      <c r="I58" s="310"/>
      <c r="J58" s="310"/>
      <c r="K58" s="314"/>
      <c r="L58" s="314"/>
    </row>
    <row r="59" spans="1:13" ht="15.5" hidden="1" x14ac:dyDescent="0.35">
      <c r="A59" s="291"/>
      <c r="B59" s="291"/>
      <c r="C59" s="291"/>
      <c r="D59" s="291"/>
      <c r="E59" s="291"/>
      <c r="F59" s="291"/>
      <c r="G59" s="291"/>
      <c r="H59" s="291"/>
      <c r="I59" s="291"/>
      <c r="J59" s="291"/>
      <c r="K59" s="291"/>
      <c r="L59" s="291"/>
    </row>
    <row r="60" spans="1:13" ht="15.5" x14ac:dyDescent="0.35">
      <c r="A60" s="291"/>
      <c r="B60" s="291"/>
      <c r="C60" s="291"/>
      <c r="D60" s="291"/>
      <c r="E60" s="291"/>
      <c r="F60" s="291"/>
      <c r="G60" s="291"/>
      <c r="H60" s="291"/>
      <c r="I60" s="291"/>
      <c r="J60" s="291"/>
      <c r="K60" s="291"/>
      <c r="L60" s="291"/>
    </row>
    <row r="61" spans="1:13" ht="15.5" x14ac:dyDescent="0.35">
      <c r="A61" s="291"/>
      <c r="B61" s="291"/>
      <c r="C61" s="291"/>
      <c r="D61" s="291"/>
      <c r="E61" s="291"/>
      <c r="F61" s="291"/>
      <c r="G61" s="291"/>
      <c r="H61" s="291"/>
      <c r="I61" s="291"/>
      <c r="J61" s="291"/>
      <c r="K61" s="291"/>
      <c r="L61" s="291"/>
    </row>
    <row r="62" spans="1:13" ht="15.5" x14ac:dyDescent="0.35">
      <c r="A62" s="291"/>
      <c r="B62" s="291"/>
      <c r="C62" s="291"/>
      <c r="D62" s="291"/>
      <c r="E62" s="291"/>
      <c r="F62" s="291"/>
      <c r="G62" s="291"/>
      <c r="H62" s="291"/>
      <c r="I62" s="291"/>
      <c r="J62" s="291"/>
      <c r="K62" s="291"/>
      <c r="L62" s="291"/>
    </row>
    <row r="63" spans="1:13" ht="15.5" x14ac:dyDescent="0.35">
      <c r="A63" s="291"/>
      <c r="B63" s="291"/>
      <c r="C63" s="291"/>
      <c r="D63" s="291"/>
      <c r="E63" s="291"/>
      <c r="F63" s="291"/>
      <c r="G63" s="291"/>
      <c r="H63" s="291"/>
      <c r="I63" s="291"/>
      <c r="J63" s="291"/>
      <c r="K63" s="291"/>
      <c r="L63" s="291"/>
    </row>
    <row r="64" spans="1:13" x14ac:dyDescent="0.3">
      <c r="B64" s="282" t="s">
        <v>74</v>
      </c>
    </row>
    <row r="66" spans="1:12" x14ac:dyDescent="0.3">
      <c r="B66" s="286"/>
      <c r="C66" s="286"/>
      <c r="D66" s="286"/>
      <c r="E66" s="286"/>
      <c r="F66" s="286" t="str">
        <f>IF(D49=85%,"neue Wohnfläche mit Abweichung um ","")</f>
        <v/>
      </c>
      <c r="G66" s="286"/>
      <c r="H66" s="286"/>
      <c r="I66" s="286"/>
      <c r="J66" s="286"/>
      <c r="K66" s="286"/>
      <c r="L66" s="286"/>
    </row>
    <row r="67" spans="1:12" x14ac:dyDescent="0.3">
      <c r="A67" s="282"/>
      <c r="B67" s="286"/>
      <c r="C67" s="286"/>
      <c r="D67" s="286"/>
      <c r="E67" s="286"/>
      <c r="F67" s="286"/>
      <c r="G67" s="286"/>
      <c r="H67" s="286"/>
      <c r="I67" s="286"/>
      <c r="J67" s="286"/>
      <c r="K67" s="286"/>
      <c r="L67" s="286"/>
    </row>
    <row r="68" spans="1:12" x14ac:dyDescent="0.3">
      <c r="A68" s="286"/>
      <c r="B68" s="286"/>
      <c r="C68" s="286"/>
      <c r="D68" s="286"/>
      <c r="E68" s="286"/>
      <c r="F68" s="286"/>
      <c r="G68" s="286"/>
      <c r="H68" s="286"/>
      <c r="I68" s="286"/>
      <c r="J68" s="286"/>
      <c r="K68" s="286"/>
      <c r="L68" s="286"/>
    </row>
    <row r="69" spans="1:12" x14ac:dyDescent="0.3">
      <c r="A69" s="286"/>
      <c r="B69" s="286"/>
      <c r="C69" s="286"/>
      <c r="D69" s="286"/>
      <c r="E69" s="286"/>
      <c r="F69" s="286"/>
      <c r="G69" s="286"/>
      <c r="H69" s="286"/>
      <c r="I69" s="286"/>
      <c r="J69" s="286"/>
      <c r="K69" s="286"/>
      <c r="L69" s="286"/>
    </row>
    <row r="70" spans="1:12" x14ac:dyDescent="0.3">
      <c r="A70" s="445"/>
      <c r="B70" s="445"/>
      <c r="C70" s="337"/>
      <c r="D70" s="338"/>
      <c r="E70" s="338"/>
      <c r="F70" s="338"/>
      <c r="G70" s="338"/>
      <c r="H70" s="282"/>
      <c r="I70" s="363"/>
      <c r="J70" s="363"/>
      <c r="K70" s="363"/>
      <c r="L70" s="363"/>
    </row>
    <row r="71" spans="1:12" ht="15.5" x14ac:dyDescent="0.3">
      <c r="A71" s="444" t="s">
        <v>75</v>
      </c>
      <c r="B71" s="444"/>
      <c r="C71" s="339"/>
      <c r="D71" s="279"/>
      <c r="E71" s="279"/>
      <c r="F71" s="279"/>
      <c r="G71" s="279"/>
      <c r="H71" s="282"/>
      <c r="I71" s="444" t="s">
        <v>76</v>
      </c>
      <c r="J71" s="444"/>
      <c r="K71" s="444"/>
      <c r="L71" s="444"/>
    </row>
    <row r="72" spans="1:12" x14ac:dyDescent="0.3">
      <c r="A72" s="282"/>
      <c r="C72" s="340" t="s">
        <v>77</v>
      </c>
      <c r="D72" s="279"/>
      <c r="E72" s="279"/>
      <c r="F72" s="279"/>
      <c r="G72" s="279"/>
      <c r="H72" s="340"/>
      <c r="I72" s="279"/>
      <c r="J72" s="282"/>
      <c r="K72" s="282"/>
      <c r="L72" s="282"/>
    </row>
  </sheetData>
  <sheetProtection sheet="1" objects="1" scenarios="1"/>
  <mergeCells count="42">
    <mergeCell ref="D9:L9"/>
    <mergeCell ref="A41:A43"/>
    <mergeCell ref="B50:C50"/>
    <mergeCell ref="B41:C41"/>
    <mergeCell ref="B42:C42"/>
    <mergeCell ref="B43:C43"/>
    <mergeCell ref="B44:C44"/>
    <mergeCell ref="B46:C46"/>
    <mergeCell ref="B47:C47"/>
    <mergeCell ref="B48:C48"/>
    <mergeCell ref="B49:C49"/>
    <mergeCell ref="B15:C15"/>
    <mergeCell ref="A71:B71"/>
    <mergeCell ref="I71:L71"/>
    <mergeCell ref="I22:L22"/>
    <mergeCell ref="I23:L23"/>
    <mergeCell ref="A70:B70"/>
    <mergeCell ref="A27:L27"/>
    <mergeCell ref="A28:L28"/>
    <mergeCell ref="A29:L29"/>
    <mergeCell ref="A30:L30"/>
    <mergeCell ref="B22:C22"/>
    <mergeCell ref="B23:C23"/>
    <mergeCell ref="I34:J34"/>
    <mergeCell ref="I37:J37"/>
    <mergeCell ref="I32:K32"/>
    <mergeCell ref="A2:L4"/>
    <mergeCell ref="A47:A48"/>
    <mergeCell ref="A49:A50"/>
    <mergeCell ref="I36:J36"/>
    <mergeCell ref="D20:L20"/>
    <mergeCell ref="D6:L6"/>
    <mergeCell ref="D18:L18"/>
    <mergeCell ref="B13:C13"/>
    <mergeCell ref="B14:C14"/>
    <mergeCell ref="D8:I8"/>
    <mergeCell ref="A8:B8"/>
    <mergeCell ref="D7:L7"/>
    <mergeCell ref="D11:L11"/>
    <mergeCell ref="I13:L13"/>
    <mergeCell ref="I14:L14"/>
    <mergeCell ref="D17:L17"/>
  </mergeCells>
  <conditionalFormatting sqref="A22:B23">
    <cfRule type="containsErrors" dxfId="53" priority="17" stopIfTrue="1">
      <formula>ISERROR(A22)</formula>
    </cfRule>
  </conditionalFormatting>
  <conditionalFormatting sqref="A34:B34 B41:B44 A45:G45 B46:B50 Q50:XFD51 A51:C51 A52:A54 A53:C54 A56:C57 A56:A58">
    <cfRule type="containsErrors" dxfId="52" priority="30">
      <formula>ISERROR(A34)</formula>
    </cfRule>
  </conditionalFormatting>
  <conditionalFormatting sqref="A40:H40">
    <cfRule type="containsErrors" dxfId="51" priority="55">
      <formula>ISERROR(A40)</formula>
    </cfRule>
  </conditionalFormatting>
  <conditionalFormatting sqref="A5:L5 A6:G6 A7:C7 A8:A9 C8:C9 A10:L10 A11:G11 A12:L12 A13:B15 D13:I15 A16:L16 A17:G18 A19:L19 A20:G20 A21:L21 D22:I23 A24:I26 A27:L31 A32 E32:H32 A33:H33 I34 K34 A35:H35 A36:B36 D36:I36 I37:I39 B64 B66:L66 A67:L69 D71:I71 C72:L72">
    <cfRule type="containsErrors" dxfId="50" priority="39" stopIfTrue="1">
      <formula>ISERROR(A5)</formula>
    </cfRule>
  </conditionalFormatting>
  <conditionalFormatting sqref="A1:XFD31 A32:I32 A33:XFD33 A34:I34 K34 A35:XFD35 A36:K36 A37:I39 A41:XFD1048576 L32:XFD32 M34:XFD34 M36:XFD39">
    <cfRule type="containsErrors" dxfId="49" priority="56">
      <formula>ISERROR(A1)</formula>
    </cfRule>
  </conditionalFormatting>
  <conditionalFormatting sqref="B22:B23">
    <cfRule type="containsErrors" dxfId="48" priority="18">
      <formula>ISERROR(B22)</formula>
    </cfRule>
  </conditionalFormatting>
  <conditionalFormatting sqref="D34">
    <cfRule type="containsErrors" dxfId="47" priority="35" stopIfTrue="1">
      <formula>ISERROR(D34)</formula>
    </cfRule>
  </conditionalFormatting>
  <conditionalFormatting sqref="D52:D54">
    <cfRule type="containsErrors" dxfId="46" priority="9">
      <formula>ISERROR(D52)</formula>
    </cfRule>
  </conditionalFormatting>
  <conditionalFormatting sqref="D56:D58">
    <cfRule type="containsErrors" dxfId="45" priority="8">
      <formula>ISERROR(D56)</formula>
    </cfRule>
  </conditionalFormatting>
  <conditionalFormatting sqref="D7:G8 D9">
    <cfRule type="containsErrors" dxfId="44" priority="36" stopIfTrue="1">
      <formula>ISERROR(D7)</formula>
    </cfRule>
  </conditionalFormatting>
  <conditionalFormatting sqref="D42:G42 D43:F43 D44:G44">
    <cfRule type="containsErrors" dxfId="43" priority="13">
      <formula>ISERROR(D42)</formula>
    </cfRule>
  </conditionalFormatting>
  <conditionalFormatting sqref="E50">
    <cfRule type="containsErrors" dxfId="42" priority="7">
      <formula>ISERROR(E50)</formula>
    </cfRule>
  </conditionalFormatting>
  <conditionalFormatting sqref="E55">
    <cfRule type="containsErrors" dxfId="41" priority="10">
      <formula>ISERROR(E55)</formula>
    </cfRule>
  </conditionalFormatting>
  <conditionalFormatting sqref="E57:G57">
    <cfRule type="containsErrors" dxfId="40" priority="12">
      <formula>ISERROR(E57)</formula>
    </cfRule>
  </conditionalFormatting>
  <conditionalFormatting sqref="H70:I70 A70:A72">
    <cfRule type="containsErrors" dxfId="39" priority="37" stopIfTrue="1">
      <formula>ISERROR(A70)</formula>
    </cfRule>
  </conditionalFormatting>
  <conditionalFormatting sqref="I44">
    <cfRule type="containsErrors" dxfId="38" priority="47">
      <formula>ISERROR(I44)</formula>
    </cfRule>
  </conditionalFormatting>
  <conditionalFormatting sqref="I46:I47">
    <cfRule type="containsErrors" dxfId="37" priority="5">
      <formula>ISERROR(I46)</formula>
    </cfRule>
  </conditionalFormatting>
  <conditionalFormatting sqref="J46:L46">
    <cfRule type="containsErrors" dxfId="36" priority="6">
      <formula>ISERROR(J46)</formula>
    </cfRule>
  </conditionalFormatting>
  <conditionalFormatting sqref="K36:K39">
    <cfRule type="containsErrors" dxfId="35" priority="2" stopIfTrue="1">
      <formula>ISERROR(K36)</formula>
    </cfRule>
  </conditionalFormatting>
  <conditionalFormatting sqref="K37:L39">
    <cfRule type="containsErrors" dxfId="34" priority="4">
      <formula>ISERROR(K37)</formula>
    </cfRule>
  </conditionalFormatting>
  <conditionalFormatting sqref="L40:XFD40">
    <cfRule type="containsErrors" dxfId="33" priority="50">
      <formula>ISERROR(L40)</formula>
    </cfRule>
  </conditionalFormatting>
  <dataValidations count="2">
    <dataValidation type="list" allowBlank="1" showInputMessage="1" showErrorMessage="1" sqref="D32" xr:uid="{00000000-0002-0000-0000-000000000000}">
      <formula1>"bitte auswählen, ja, nein"</formula1>
    </dataValidation>
    <dataValidation type="list" allowBlank="1" showInputMessage="1" showErrorMessage="1" sqref="D8:I8" xr:uid="{00000000-0002-0000-0000-000001000000}">
      <formula1>"bitte auswählen, Wohnstätte Interne Tagesstruktur,Wohnstätte Externe Tagesstruktur, AWG"</formula1>
    </dataValidation>
  </dataValidations>
  <pageMargins left="0.59055118110236227" right="0.55118110236220474" top="0.59055118110236227" bottom="0.39370078740157483" header="0.51181102362204722" footer="0.51181102362204722"/>
  <pageSetup paperSize="9" scale="70" orientation="portrait" r:id="rId1"/>
  <headerFooter alignWithMargins="0">
    <oddHeader>&amp;L&amp;8Landesrahmenvertrag Sachsen
&amp;R&amp;8Bearbeitungsstand       29.09.2023</oddHeader>
    <oddFooter>&amp;L&amp;8&amp;F&amp;R&amp;8&amp;A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outlinePr showOutlineSymbols="0"/>
  </sheetPr>
  <dimension ref="A1:AA77"/>
  <sheetViews>
    <sheetView showGridLines="0" showOutlineSymbols="0" view="pageLayout" zoomScale="80" zoomScaleNormal="130" zoomScalePageLayoutView="80" workbookViewId="0">
      <selection activeCell="D4" sqref="D4"/>
    </sheetView>
  </sheetViews>
  <sheetFormatPr baseColWidth="10" defaultColWidth="0" defaultRowHeight="13" x14ac:dyDescent="0.25"/>
  <cols>
    <col min="1" max="1" width="18.7265625" customWidth="1"/>
    <col min="2" max="3" width="7" customWidth="1"/>
    <col min="4" max="4" width="8.26953125" customWidth="1"/>
    <col min="5" max="5" width="2.7265625" customWidth="1"/>
    <col min="6" max="6" width="3.26953125" customWidth="1"/>
    <col min="7" max="7" width="5.7265625" customWidth="1"/>
    <col min="8" max="8" width="9.81640625" customWidth="1"/>
    <col min="9" max="9" width="11.7265625" customWidth="1"/>
    <col min="10" max="10" width="11.26953125" customWidth="1"/>
    <col min="11" max="11" width="11.7265625" customWidth="1"/>
    <col min="12" max="12" width="1.453125" customWidth="1"/>
    <col min="13" max="13" width="10" style="6" customWidth="1"/>
    <col min="14" max="14" width="6" style="6" customWidth="1"/>
    <col min="15" max="15" width="10.1796875" style="6" customWidth="1"/>
    <col min="16" max="16" width="8.26953125" style="6" customWidth="1"/>
    <col min="17" max="17" width="10.1796875" style="6" customWidth="1"/>
    <col min="18" max="18" width="6" style="6" customWidth="1"/>
    <col min="19" max="19" width="11.7265625" style="6" customWidth="1"/>
    <col min="20" max="20" width="1.54296875" customWidth="1"/>
    <col min="21" max="21" width="12.1796875" customWidth="1"/>
    <col min="22" max="22" width="9.54296875" customWidth="1"/>
    <col min="23" max="23" width="7.7265625" customWidth="1"/>
    <col min="24" max="24" width="5.1796875" customWidth="1"/>
    <col min="25" max="25" width="11.7265625" customWidth="1"/>
    <col min="26" max="36" width="10.1796875" customWidth="1"/>
  </cols>
  <sheetData>
    <row r="1" spans="1:27" ht="15.75" customHeight="1" x14ac:dyDescent="0.3">
      <c r="B1" s="529"/>
      <c r="C1" s="529"/>
      <c r="D1" s="529"/>
      <c r="E1" s="5"/>
      <c r="F1" s="532" t="s">
        <v>402</v>
      </c>
      <c r="G1" s="532"/>
      <c r="H1" s="532"/>
      <c r="I1" s="532"/>
      <c r="J1" s="532"/>
      <c r="K1" s="532"/>
      <c r="M1" s="530" t="s">
        <v>403</v>
      </c>
      <c r="N1" s="530"/>
      <c r="O1" s="530"/>
      <c r="P1" s="530"/>
      <c r="Q1" s="530"/>
      <c r="R1" s="530"/>
      <c r="S1" s="530"/>
      <c r="T1" s="7"/>
      <c r="U1" s="230"/>
      <c r="V1" s="229"/>
      <c r="W1" s="229"/>
      <c r="X1" s="229"/>
      <c r="Y1" s="229"/>
    </row>
    <row r="2" spans="1:27" ht="17.25" customHeight="1" x14ac:dyDescent="0.4">
      <c r="A2" s="4"/>
      <c r="B2" s="531"/>
      <c r="C2" s="531"/>
      <c r="D2" s="531"/>
      <c r="F2" s="532"/>
      <c r="G2" s="532"/>
      <c r="H2" s="532"/>
      <c r="I2" s="532"/>
      <c r="J2" s="532"/>
      <c r="K2" s="532"/>
      <c r="M2" s="530"/>
      <c r="N2" s="530"/>
      <c r="O2" s="530"/>
      <c r="P2" s="530"/>
      <c r="Q2" s="530"/>
      <c r="R2" s="530"/>
      <c r="S2" s="530"/>
      <c r="T2" s="7"/>
      <c r="U2" s="229"/>
      <c r="V2" s="229"/>
      <c r="W2" s="229"/>
      <c r="X2" s="229"/>
      <c r="Y2" s="231"/>
    </row>
    <row r="3" spans="1:27" ht="2.9" customHeight="1" x14ac:dyDescent="0.3">
      <c r="A3" s="8"/>
      <c r="B3" s="8"/>
      <c r="C3" s="8"/>
      <c r="D3" s="8"/>
      <c r="T3" s="7"/>
      <c r="U3" s="229"/>
      <c r="V3" s="229"/>
      <c r="X3" s="229"/>
    </row>
    <row r="4" spans="1:27" ht="12.75" customHeight="1" x14ac:dyDescent="0.3">
      <c r="A4" s="10" t="s">
        <v>0</v>
      </c>
      <c r="B4" s="48">
        <f>Stammblatt!B15</f>
        <v>0</v>
      </c>
      <c r="C4" s="273"/>
      <c r="D4" s="273"/>
      <c r="J4" s="11" t="s">
        <v>1</v>
      </c>
      <c r="K4" s="232">
        <v>1.4999999999999999E-2</v>
      </c>
      <c r="M4" s="12" t="s">
        <v>2</v>
      </c>
      <c r="N4" s="12"/>
      <c r="R4" s="547">
        <v>46023</v>
      </c>
      <c r="S4" s="547"/>
      <c r="T4" s="7"/>
      <c r="U4" s="539" t="s">
        <v>314</v>
      </c>
      <c r="V4" s="539"/>
      <c r="W4" s="539"/>
      <c r="X4" s="229"/>
      <c r="Y4" s="231"/>
    </row>
    <row r="5" spans="1:27" ht="2.9" customHeight="1" x14ac:dyDescent="0.3">
      <c r="A5" s="10"/>
      <c r="B5" s="48"/>
      <c r="C5" s="10"/>
      <c r="D5" s="10"/>
      <c r="T5" s="7"/>
      <c r="U5" s="539"/>
      <c r="V5" s="539"/>
      <c r="W5" s="539"/>
      <c r="X5" s="229"/>
      <c r="Y5" s="231"/>
    </row>
    <row r="6" spans="1:27" ht="12.75" customHeight="1" x14ac:dyDescent="0.3">
      <c r="A6" t="s">
        <v>267</v>
      </c>
      <c r="B6" s="540" t="str">
        <f>Stammblatt!D6</f>
        <v>Zuhause</v>
      </c>
      <c r="C6" s="540"/>
      <c r="D6" s="540"/>
      <c r="E6" s="540"/>
      <c r="F6" s="540"/>
      <c r="G6" s="540"/>
      <c r="H6" s="540"/>
      <c r="J6" s="13"/>
      <c r="K6" s="233"/>
      <c r="M6" s="12" t="s">
        <v>3</v>
      </c>
      <c r="N6" s="12"/>
      <c r="R6" s="547">
        <v>46387</v>
      </c>
      <c r="S6" s="547"/>
      <c r="U6" s="539"/>
      <c r="V6" s="539"/>
      <c r="W6" s="539"/>
      <c r="X6" s="229"/>
      <c r="Y6" s="231"/>
    </row>
    <row r="7" spans="1:27" ht="12.75" customHeight="1" x14ac:dyDescent="0.4">
      <c r="A7" t="s">
        <v>254</v>
      </c>
      <c r="B7" s="540">
        <f>Stammblatt!D11</f>
        <v>0</v>
      </c>
      <c r="C7" s="540"/>
      <c r="D7" s="540"/>
      <c r="E7" s="540"/>
      <c r="F7" s="540"/>
      <c r="G7" s="540"/>
      <c r="H7" s="540"/>
      <c r="J7" s="11"/>
      <c r="K7" s="1"/>
      <c r="L7" s="15"/>
      <c r="U7" s="539"/>
      <c r="V7" s="539"/>
      <c r="W7" s="539"/>
      <c r="X7" s="229"/>
      <c r="Y7" s="231"/>
    </row>
    <row r="8" spans="1:27" ht="2.9" customHeight="1" thickBot="1" x14ac:dyDescent="0.3">
      <c r="E8" s="16"/>
      <c r="G8" s="16"/>
      <c r="K8" s="17"/>
      <c r="M8" s="18"/>
      <c r="N8" s="18"/>
      <c r="U8" s="231"/>
      <c r="V8" s="229"/>
      <c r="W8" s="229"/>
      <c r="X8" s="229"/>
      <c r="Y8" s="231"/>
    </row>
    <row r="9" spans="1:27" ht="12.75" customHeight="1" x14ac:dyDescent="0.3">
      <c r="A9" s="19" t="s">
        <v>4</v>
      </c>
      <c r="B9" s="546">
        <f>Stammblatt!D9</f>
        <v>0</v>
      </c>
      <c r="C9" s="546"/>
      <c r="D9" s="546"/>
      <c r="G9" s="20"/>
      <c r="M9" s="12" t="s">
        <v>5</v>
      </c>
      <c r="N9" s="12"/>
      <c r="S9" s="69">
        <f>Stammblatt!D49</f>
        <v>0.77839999999999998</v>
      </c>
      <c r="U9" s="533" t="s">
        <v>320</v>
      </c>
      <c r="V9" s="534"/>
      <c r="W9" s="534"/>
      <c r="X9" s="402"/>
      <c r="Y9" s="401"/>
      <c r="Z9" s="401"/>
      <c r="AA9" s="401"/>
    </row>
    <row r="10" spans="1:27" ht="12.75" customHeight="1" x14ac:dyDescent="0.25">
      <c r="A10" t="s">
        <v>255</v>
      </c>
      <c r="B10" s="234" t="str">
        <f>Stammblatt!D8</f>
        <v>Wohnstätte Externe Tagesstruktur</v>
      </c>
      <c r="C10" s="235"/>
      <c r="D10" s="235"/>
      <c r="G10" s="18"/>
      <c r="J10" s="21" t="s">
        <v>256</v>
      </c>
      <c r="K10" s="210">
        <v>0.95</v>
      </c>
      <c r="L10" s="14"/>
      <c r="M10" s="12" t="s">
        <v>6</v>
      </c>
      <c r="N10" s="12"/>
      <c r="S10" s="68">
        <f>100%-S9</f>
        <v>0.22159999999999999</v>
      </c>
      <c r="U10" s="535"/>
      <c r="V10" s="536"/>
      <c r="W10" s="536"/>
      <c r="X10" s="402"/>
      <c r="Y10" s="401"/>
      <c r="Z10" s="401"/>
      <c r="AA10" s="401"/>
    </row>
    <row r="11" spans="1:27" s="19" customFormat="1" ht="12.75" customHeight="1" x14ac:dyDescent="0.25">
      <c r="A11" s="19" t="s">
        <v>7</v>
      </c>
      <c r="B11" s="210">
        <v>0.98</v>
      </c>
      <c r="G11" s="12"/>
      <c r="J11" s="19" t="s">
        <v>257</v>
      </c>
      <c r="K11" s="70">
        <f>B13*K10*365</f>
        <v>8669</v>
      </c>
      <c r="L11"/>
      <c r="U11" s="535"/>
      <c r="V11" s="536"/>
      <c r="W11" s="536"/>
      <c r="X11" s="402"/>
      <c r="Y11" s="231"/>
    </row>
    <row r="12" spans="1:27" s="19" customFormat="1" ht="12.75" customHeight="1" thickBot="1" x14ac:dyDescent="0.45">
      <c r="A12" s="19" t="s">
        <v>8</v>
      </c>
      <c r="B12" s="70">
        <f>B13*365*B11</f>
        <v>8943</v>
      </c>
      <c r="G12" s="22"/>
      <c r="H12" s="20"/>
      <c r="I12"/>
      <c r="J12" s="11"/>
      <c r="K12" s="67"/>
      <c r="L12"/>
      <c r="M12" s="15"/>
      <c r="N12" s="15"/>
      <c r="O12" s="15"/>
      <c r="P12" s="15"/>
      <c r="Q12" s="15"/>
      <c r="R12" s="15"/>
      <c r="S12" s="15"/>
      <c r="U12" s="537"/>
      <c r="V12" s="538"/>
      <c r="W12" s="538"/>
      <c r="X12" s="402"/>
      <c r="Y12" s="231"/>
    </row>
    <row r="13" spans="1:27" s="19" customFormat="1" ht="12.75" customHeight="1" x14ac:dyDescent="0.25">
      <c r="A13" s="23" t="s">
        <v>9</v>
      </c>
      <c r="B13" s="236">
        <v>25</v>
      </c>
      <c r="J13" s="11"/>
      <c r="K13" s="67"/>
      <c r="L13"/>
      <c r="M13" s="25"/>
      <c r="N13" s="25"/>
      <c r="O13" s="25"/>
      <c r="P13" s="25"/>
      <c r="Q13" s="25"/>
      <c r="R13" s="25"/>
      <c r="S13" s="25"/>
      <c r="U13" s="402"/>
      <c r="V13" s="402"/>
      <c r="W13" s="402"/>
      <c r="X13" s="402"/>
      <c r="Y13" s="231"/>
    </row>
    <row r="14" spans="1:27" s="19" customFormat="1" ht="2.9" customHeight="1" thickBot="1" x14ac:dyDescent="0.3">
      <c r="A14" s="506"/>
      <c r="E14" s="31"/>
      <c r="F14" s="24"/>
      <c r="J14" s="11"/>
      <c r="K14" s="67"/>
      <c r="L14"/>
      <c r="M14" s="25"/>
      <c r="N14" s="25"/>
      <c r="O14" s="25"/>
      <c r="P14" s="25"/>
      <c r="Q14" s="25"/>
      <c r="R14" s="25"/>
      <c r="S14" s="25"/>
      <c r="V14" s="229"/>
      <c r="W14" s="229"/>
      <c r="X14" s="229"/>
      <c r="Y14" s="231"/>
    </row>
    <row r="15" spans="1:27" s="19" customFormat="1" ht="12.75" customHeight="1" thickBot="1" x14ac:dyDescent="0.3">
      <c r="A15" s="506"/>
      <c r="G15" s="26"/>
      <c r="H15" s="541" t="s">
        <v>10</v>
      </c>
      <c r="I15" s="541" t="s">
        <v>11</v>
      </c>
      <c r="J15" s="541" t="s">
        <v>12</v>
      </c>
      <c r="K15" s="544" t="s">
        <v>13</v>
      </c>
      <c r="L15"/>
      <c r="M15" s="520" t="s">
        <v>14</v>
      </c>
      <c r="N15" s="521"/>
      <c r="O15" s="522"/>
      <c r="P15" s="523" t="s">
        <v>45</v>
      </c>
      <c r="Q15" s="524"/>
      <c r="R15" s="508" t="s">
        <v>46</v>
      </c>
      <c r="S15" s="509"/>
      <c r="U15" s="507" t="s">
        <v>290</v>
      </c>
      <c r="V15" s="507"/>
      <c r="W15" s="229"/>
      <c r="X15" s="229"/>
      <c r="Y15" s="231"/>
    </row>
    <row r="16" spans="1:27" s="19" customFormat="1" ht="12.75" customHeight="1" thickBot="1" x14ac:dyDescent="0.35">
      <c r="G16" s="27"/>
      <c r="H16" s="542"/>
      <c r="I16" s="542"/>
      <c r="J16" s="542"/>
      <c r="K16" s="545"/>
      <c r="L16"/>
      <c r="M16" s="514" t="s">
        <v>10</v>
      </c>
      <c r="N16" s="516" t="str">
        <f>IF(Stammblatt!D8="Wohnstätte Externe Tagesstruktur", "bW EXT",IF(Stammblatt!D8="Wohnstätte Interne Tagesstruktur", "bW INT", "AWG"))</f>
        <v>bW EXT</v>
      </c>
      <c r="O16" s="517"/>
      <c r="P16" s="525"/>
      <c r="Q16" s="526"/>
      <c r="R16" s="510"/>
      <c r="S16" s="511"/>
      <c r="U16" s="19" t="s">
        <v>269</v>
      </c>
      <c r="V16" s="229" t="s">
        <v>289</v>
      </c>
      <c r="W16" s="229"/>
      <c r="X16" s="229"/>
      <c r="Y16" s="231"/>
    </row>
    <row r="17" spans="1:25" s="19" customFormat="1" ht="12.75" customHeight="1" thickBot="1" x14ac:dyDescent="0.35">
      <c r="A17" s="28" t="s">
        <v>15</v>
      </c>
      <c r="B17" s="28"/>
      <c r="C17" s="28"/>
      <c r="D17" s="28"/>
      <c r="G17" s="27"/>
      <c r="H17" s="543"/>
      <c r="I17" s="543"/>
      <c r="J17" s="543"/>
      <c r="K17" s="545"/>
      <c r="L17"/>
      <c r="M17" s="515"/>
      <c r="N17" s="518" t="s">
        <v>268</v>
      </c>
      <c r="O17" s="519"/>
      <c r="P17" s="527"/>
      <c r="Q17" s="528"/>
      <c r="R17" s="512"/>
      <c r="S17" s="513"/>
      <c r="V17" s="229"/>
      <c r="W17" s="230"/>
      <c r="X17" s="229"/>
      <c r="Y17" s="231"/>
    </row>
    <row r="18" spans="1:25" s="19" customFormat="1" ht="12.75" customHeight="1" x14ac:dyDescent="0.25">
      <c r="A18" s="477" t="s">
        <v>16</v>
      </c>
      <c r="B18" s="478"/>
      <c r="C18" s="478"/>
      <c r="D18" s="478"/>
      <c r="F18" s="29"/>
      <c r="G18" s="30"/>
      <c r="H18" s="211">
        <v>25</v>
      </c>
      <c r="I18" s="237">
        <v>66410</v>
      </c>
      <c r="J18" s="2">
        <f>IF(H18=0,0,((I18*$K$4)+I18)*($B$13/H18))</f>
        <v>67406</v>
      </c>
      <c r="K18" s="3">
        <f>J18/$K$11</f>
        <v>7.78</v>
      </c>
      <c r="L18"/>
      <c r="M18" s="345">
        <f>$H$18/N18</f>
        <v>31.25</v>
      </c>
      <c r="N18" s="346">
        <v>0.8</v>
      </c>
      <c r="O18" s="347">
        <f>K18*N18</f>
        <v>6.22</v>
      </c>
      <c r="P18" s="348">
        <v>0.2</v>
      </c>
      <c r="Q18" s="347">
        <f>K18-O18</f>
        <v>1.56</v>
      </c>
      <c r="R18" s="349"/>
      <c r="S18" s="347"/>
      <c r="T18" s="31"/>
      <c r="U18" s="406">
        <f>Wohnraumüberlassungskosten!B17</f>
        <v>1.56</v>
      </c>
      <c r="V18" s="404"/>
      <c r="W18" s="408">
        <f t="shared" ref="W18:W23" si="0">U18+V18</f>
        <v>1.56</v>
      </c>
      <c r="X18" s="229"/>
      <c r="Y18" s="231"/>
    </row>
    <row r="19" spans="1:25" s="19" customFormat="1" ht="12.75" customHeight="1" x14ac:dyDescent="0.25">
      <c r="A19" s="477" t="s">
        <v>17</v>
      </c>
      <c r="B19" s="478"/>
      <c r="C19" s="478"/>
      <c r="D19" s="478"/>
      <c r="F19" s="29"/>
      <c r="G19" s="30"/>
      <c r="H19" s="211">
        <v>15</v>
      </c>
      <c r="I19" s="237">
        <v>46099</v>
      </c>
      <c r="J19" s="2">
        <f>IF(H19=0,0,((I19*$K$4)+I19)*($B$13/H19))</f>
        <v>77984</v>
      </c>
      <c r="K19" s="3">
        <f t="shared" ref="K19:K23" si="1">J19/$K$11</f>
        <v>9</v>
      </c>
      <c r="L19"/>
      <c r="M19" s="350">
        <f>IFERROR($K$11/($K$11/$H$19*N19),0)</f>
        <v>23.81</v>
      </c>
      <c r="N19" s="351">
        <f>O19/K19</f>
        <v>0.63</v>
      </c>
      <c r="O19" s="352">
        <f>K19-Q19</f>
        <v>5.63</v>
      </c>
      <c r="P19" s="353">
        <f>Q19/K19</f>
        <v>0.37</v>
      </c>
      <c r="Q19" s="352">
        <f>B13/IF(H19&gt;40,#REF!,40)*I19*(1+K4)/K11</f>
        <v>3.37</v>
      </c>
      <c r="R19" s="354"/>
      <c r="S19" s="352"/>
      <c r="T19" s="31"/>
      <c r="U19" s="406">
        <f>Wohnraumüberlassungskosten!B21</f>
        <v>0.84</v>
      </c>
      <c r="V19" s="404">
        <f>Nebenkosten!H21/K11</f>
        <v>2.66</v>
      </c>
      <c r="W19" s="408">
        <f t="shared" si="0"/>
        <v>3.5</v>
      </c>
      <c r="X19" s="229"/>
      <c r="Y19" s="231"/>
    </row>
    <row r="20" spans="1:25" s="19" customFormat="1" ht="12.75" customHeight="1" x14ac:dyDescent="0.25">
      <c r="A20" s="502" t="s">
        <v>18</v>
      </c>
      <c r="B20" s="503"/>
      <c r="C20" s="503"/>
      <c r="D20" s="503"/>
      <c r="F20" s="32"/>
      <c r="H20" s="211">
        <v>3</v>
      </c>
      <c r="I20" s="237">
        <v>48312</v>
      </c>
      <c r="J20" s="2">
        <f>IF(H20=0,0,((I20*$K$4)+I20)*($B$13/H20))</f>
        <v>408639</v>
      </c>
      <c r="K20" s="3">
        <f t="shared" si="1"/>
        <v>47.14</v>
      </c>
      <c r="L20"/>
      <c r="M20" s="350">
        <f>$H$20</f>
        <v>3</v>
      </c>
      <c r="N20" s="351">
        <v>1</v>
      </c>
      <c r="O20" s="352">
        <f>N20*K20</f>
        <v>47.14</v>
      </c>
      <c r="P20" s="355"/>
      <c r="Q20" s="356"/>
      <c r="R20" s="355"/>
      <c r="S20" s="356"/>
      <c r="T20" s="31"/>
      <c r="U20" s="406"/>
      <c r="V20" s="404"/>
      <c r="W20" s="408">
        <f t="shared" si="0"/>
        <v>0</v>
      </c>
      <c r="X20" s="229"/>
      <c r="Y20" s="231"/>
    </row>
    <row r="21" spans="1:25" s="19" customFormat="1" ht="12.75" customHeight="1" x14ac:dyDescent="0.25">
      <c r="A21" s="504" t="s">
        <v>258</v>
      </c>
      <c r="B21" s="505"/>
      <c r="C21" s="505"/>
      <c r="D21" s="505"/>
      <c r="G21" s="30"/>
      <c r="H21" s="211"/>
      <c r="I21" s="237"/>
      <c r="J21" s="2">
        <f>IF(H21=0,0,((I21*$K$4)+I21)*($B$13/H21))</f>
        <v>0</v>
      </c>
      <c r="K21" s="3">
        <f t="shared" si="1"/>
        <v>0</v>
      </c>
      <c r="L21"/>
      <c r="M21" s="350">
        <f>$H$21</f>
        <v>0</v>
      </c>
      <c r="N21" s="351">
        <v>1</v>
      </c>
      <c r="O21" s="352">
        <f>N21*K21</f>
        <v>0</v>
      </c>
      <c r="P21" s="355"/>
      <c r="Q21" s="356"/>
      <c r="R21" s="355"/>
      <c r="S21" s="356"/>
      <c r="T21" s="31"/>
      <c r="U21" s="406"/>
      <c r="V21" s="404"/>
      <c r="W21" s="408">
        <f t="shared" si="0"/>
        <v>0</v>
      </c>
      <c r="X21" s="229"/>
      <c r="Y21" s="231"/>
    </row>
    <row r="22" spans="1:25" s="19" customFormat="1" ht="12.75" customHeight="1" x14ac:dyDescent="0.25">
      <c r="A22" s="477" t="s">
        <v>19</v>
      </c>
      <c r="B22" s="478"/>
      <c r="C22" s="478"/>
      <c r="D22" s="478"/>
      <c r="F22" s="32"/>
      <c r="H22" s="211">
        <v>60</v>
      </c>
      <c r="I22" s="237">
        <v>50485</v>
      </c>
      <c r="J22" s="2">
        <f>IF(H22=0,0,((I22*$K$4)+I22)*($B$13/H22))</f>
        <v>21351</v>
      </c>
      <c r="K22" s="3">
        <f t="shared" si="1"/>
        <v>2.46</v>
      </c>
      <c r="L22"/>
      <c r="M22" s="350">
        <f>$H$22</f>
        <v>60</v>
      </c>
      <c r="N22" s="351">
        <v>1</v>
      </c>
      <c r="O22" s="352">
        <f>N22*K22</f>
        <v>2.46</v>
      </c>
      <c r="P22" s="355"/>
      <c r="Q22" s="356"/>
      <c r="R22" s="355"/>
      <c r="S22" s="356"/>
      <c r="T22" s="31"/>
      <c r="U22" s="406"/>
      <c r="V22" s="404"/>
      <c r="W22" s="408">
        <f t="shared" si="0"/>
        <v>0</v>
      </c>
      <c r="X22" s="229"/>
      <c r="Y22" s="231"/>
    </row>
    <row r="23" spans="1:25" s="19" customFormat="1" ht="12.75" customHeight="1" thickBot="1" x14ac:dyDescent="0.3">
      <c r="A23" s="477" t="s">
        <v>20</v>
      </c>
      <c r="B23" s="478"/>
      <c r="C23" s="478"/>
      <c r="D23" s="478"/>
      <c r="G23" s="30"/>
      <c r="H23" s="34"/>
      <c r="I23" s="34"/>
      <c r="J23" s="237">
        <v>3600</v>
      </c>
      <c r="K23" s="3">
        <f t="shared" si="1"/>
        <v>0.42</v>
      </c>
      <c r="L23"/>
      <c r="M23" s="357"/>
      <c r="N23" s="358">
        <v>0.75</v>
      </c>
      <c r="O23" s="359">
        <f>N23*K23</f>
        <v>0.32</v>
      </c>
      <c r="P23" s="360">
        <v>0.25</v>
      </c>
      <c r="Q23" s="359">
        <f>K23-O23</f>
        <v>0.1</v>
      </c>
      <c r="R23" s="361"/>
      <c r="S23" s="362"/>
      <c r="T23" s="31"/>
      <c r="U23" s="406"/>
      <c r="V23" s="404">
        <f>Nebenkosten!H20/K11</f>
        <v>0.11</v>
      </c>
      <c r="W23" s="408">
        <f t="shared" si="0"/>
        <v>0.11</v>
      </c>
      <c r="X23" s="229"/>
      <c r="Y23" s="231"/>
    </row>
    <row r="24" spans="1:25" s="19" customFormat="1" ht="12.75" customHeight="1" thickBot="1" x14ac:dyDescent="0.3">
      <c r="A24" s="489" t="s">
        <v>21</v>
      </c>
      <c r="B24" s="489"/>
      <c r="C24" s="489"/>
      <c r="D24" s="489"/>
      <c r="H24" s="32"/>
      <c r="I24" s="65"/>
      <c r="J24" s="37">
        <f>SUM(J18:J23)</f>
        <v>578980</v>
      </c>
      <c r="K24" s="35">
        <f>SUM(K18:K23)</f>
        <v>66.8</v>
      </c>
      <c r="L24"/>
      <c r="M24" s="6"/>
      <c r="N24" s="6"/>
      <c r="O24" s="178">
        <f>O18+O19+O20+O21+O22+O23</f>
        <v>61.77</v>
      </c>
      <c r="P24" s="6"/>
      <c r="Q24" s="238">
        <f>Q23+Q19+Q18</f>
        <v>5.03</v>
      </c>
      <c r="R24" s="6"/>
      <c r="S24" s="38"/>
      <c r="T24" s="31"/>
      <c r="U24" s="407"/>
      <c r="V24" s="405"/>
      <c r="W24" s="229"/>
      <c r="X24" s="229"/>
      <c r="Y24" s="231"/>
    </row>
    <row r="25" spans="1:25" s="19" customFormat="1" ht="6" customHeight="1" x14ac:dyDescent="0.25">
      <c r="K25" s="33"/>
      <c r="L25"/>
      <c r="M25" s="6"/>
      <c r="N25" s="6"/>
      <c r="O25" s="6"/>
      <c r="P25" s="6"/>
      <c r="Q25" s="6"/>
      <c r="R25" s="6"/>
      <c r="S25" s="6"/>
      <c r="U25" s="407"/>
      <c r="V25" s="405"/>
      <c r="X25" s="229"/>
    </row>
    <row r="26" spans="1:25" s="19" customFormat="1" ht="12.75" customHeight="1" thickBot="1" x14ac:dyDescent="0.3">
      <c r="A26" s="477" t="s">
        <v>259</v>
      </c>
      <c r="B26" s="478"/>
      <c r="C26" s="478"/>
      <c r="D26" s="478"/>
      <c r="F26" s="32"/>
      <c r="H26" s="211"/>
      <c r="I26" s="237"/>
      <c r="J26" s="2">
        <f>IF(H26=0,0,((I26*$K$4)+I26)*($B$13/H26))</f>
        <v>0</v>
      </c>
      <c r="K26" s="3">
        <f t="shared" ref="K26" si="2">J26/$K$11</f>
        <v>0</v>
      </c>
      <c r="L26"/>
      <c r="M26" s="172">
        <f>H26</f>
        <v>0</v>
      </c>
      <c r="N26" s="174">
        <v>1</v>
      </c>
      <c r="O26" s="175">
        <f>N26*K26</f>
        <v>0</v>
      </c>
      <c r="P26" s="6"/>
      <c r="Q26" s="6"/>
      <c r="R26" s="6"/>
      <c r="S26" s="6"/>
      <c r="U26" s="407"/>
      <c r="V26" s="405"/>
      <c r="X26" s="229"/>
    </row>
    <row r="27" spans="1:25" s="19" customFormat="1" ht="6" customHeight="1" x14ac:dyDescent="0.25">
      <c r="K27" s="33"/>
      <c r="L27"/>
      <c r="M27" s="6"/>
      <c r="N27" s="6"/>
      <c r="O27" s="6"/>
      <c r="P27" s="6"/>
      <c r="Q27" s="6"/>
      <c r="R27" s="6"/>
      <c r="S27" s="6"/>
      <c r="U27" s="407"/>
      <c r="V27" s="405"/>
      <c r="X27" s="229"/>
    </row>
    <row r="28" spans="1:25" s="19" customFormat="1" ht="12.75" customHeight="1" thickBot="1" x14ac:dyDescent="0.35">
      <c r="A28" s="28" t="s">
        <v>22</v>
      </c>
      <c r="B28" s="39"/>
      <c r="C28" s="39"/>
      <c r="D28" s="39"/>
      <c r="I28" s="61"/>
      <c r="J28" s="51"/>
      <c r="K28" s="33"/>
      <c r="L28"/>
      <c r="M28" s="6"/>
      <c r="N28" s="6"/>
      <c r="O28" s="6"/>
      <c r="P28" s="6"/>
      <c r="Q28" s="6"/>
      <c r="R28" s="6"/>
      <c r="S28" s="6"/>
      <c r="U28" s="407"/>
      <c r="V28" s="407"/>
      <c r="W28" s="230"/>
      <c r="Y28" s="231"/>
    </row>
    <row r="29" spans="1:25" s="19" customFormat="1" ht="12.75" customHeight="1" thickBot="1" x14ac:dyDescent="0.3">
      <c r="A29" s="477" t="s">
        <v>23</v>
      </c>
      <c r="B29" s="478"/>
      <c r="C29" s="478"/>
      <c r="D29" s="478"/>
      <c r="G29" s="30"/>
      <c r="H29" s="30"/>
      <c r="I29" s="30"/>
      <c r="J29" s="237">
        <v>65250</v>
      </c>
      <c r="K29" s="3">
        <f>IF(J29=0,I29/$K$11,J29/$K$11)</f>
        <v>7.53</v>
      </c>
      <c r="L29"/>
      <c r="M29" s="274"/>
      <c r="N29" s="239"/>
      <c r="O29" s="240"/>
      <c r="P29" s="241"/>
      <c r="Q29" s="241"/>
      <c r="R29" s="186">
        <v>1</v>
      </c>
      <c r="S29" s="187">
        <f>R29*K29</f>
        <v>7.53</v>
      </c>
      <c r="U29" s="407"/>
      <c r="V29" s="405"/>
      <c r="W29" s="229"/>
      <c r="X29" s="229"/>
      <c r="Y29" s="231"/>
    </row>
    <row r="30" spans="1:25" s="19" customFormat="1" ht="13.5" thickBot="1" x14ac:dyDescent="0.3">
      <c r="A30" s="477" t="s">
        <v>260</v>
      </c>
      <c r="B30" s="478"/>
      <c r="C30" s="478"/>
      <c r="D30" s="478"/>
      <c r="E30" s="19" t="s">
        <v>47</v>
      </c>
      <c r="G30" s="30"/>
      <c r="H30" s="171"/>
      <c r="I30" s="30"/>
      <c r="J30" s="237">
        <v>16388</v>
      </c>
      <c r="K30" s="3">
        <f>IF(J30=0,I30/$K$11,J30/$K$11)</f>
        <v>1.89</v>
      </c>
      <c r="L30"/>
      <c r="M30" s="274"/>
      <c r="N30" s="179">
        <f>$S$10</f>
        <v>0.22159999999999999</v>
      </c>
      <c r="O30" s="242">
        <f>K30-Q30</f>
        <v>0.41</v>
      </c>
      <c r="P30" s="243">
        <f>S9</f>
        <v>0.77839999999999998</v>
      </c>
      <c r="Q30" s="244">
        <f>ROUNDUP(P30*K30,2)</f>
        <v>1.48</v>
      </c>
      <c r="R30" s="500"/>
      <c r="S30" s="498"/>
      <c r="U30" s="406"/>
      <c r="V30" s="404">
        <f>Nebenkosten!H16/K11</f>
        <v>1.55</v>
      </c>
      <c r="W30" s="408">
        <f t="shared" ref="W30:W35" si="3">U30+V30</f>
        <v>1.55</v>
      </c>
      <c r="X30" s="229"/>
      <c r="Y30" s="231"/>
    </row>
    <row r="31" spans="1:25" s="19" customFormat="1" ht="13.5" thickBot="1" x14ac:dyDescent="0.3">
      <c r="A31" s="42" t="s">
        <v>261</v>
      </c>
      <c r="G31" s="30"/>
      <c r="H31" s="198"/>
      <c r="I31" s="30"/>
      <c r="J31" s="237">
        <v>11462</v>
      </c>
      <c r="K31" s="3">
        <f t="shared" ref="K31:K41" si="4">IF(J31=0,I31/$K$11,J31/$K$11)</f>
        <v>1.32</v>
      </c>
      <c r="L31"/>
      <c r="M31" s="274"/>
      <c r="N31" s="179">
        <f>$S$10</f>
        <v>0.22159999999999999</v>
      </c>
      <c r="O31" s="242">
        <f t="shared" ref="O31:O32" si="5">K31-Q31</f>
        <v>0.28999999999999998</v>
      </c>
      <c r="P31" s="243">
        <f>S9</f>
        <v>0.77839999999999998</v>
      </c>
      <c r="Q31" s="244">
        <f>ROUNDUP(P31*K31,2)</f>
        <v>1.03</v>
      </c>
      <c r="R31" s="500"/>
      <c r="S31" s="498"/>
      <c r="U31" s="406"/>
      <c r="V31" s="404">
        <f>Nebenkosten!H17/K11</f>
        <v>1.08</v>
      </c>
      <c r="W31" s="408">
        <f t="shared" si="3"/>
        <v>1.08</v>
      </c>
      <c r="X31" s="229"/>
      <c r="Y31" s="231"/>
    </row>
    <row r="32" spans="1:25" s="19" customFormat="1" ht="13.5" thickBot="1" x14ac:dyDescent="0.3">
      <c r="A32" s="477" t="s">
        <v>24</v>
      </c>
      <c r="B32" s="478"/>
      <c r="C32" s="478"/>
      <c r="D32" s="478"/>
      <c r="G32" s="30"/>
      <c r="H32" s="30"/>
      <c r="I32" s="30"/>
      <c r="J32" s="237">
        <v>9667</v>
      </c>
      <c r="K32" s="3">
        <f t="shared" si="4"/>
        <v>1.1200000000000001</v>
      </c>
      <c r="L32"/>
      <c r="M32" s="274"/>
      <c r="N32" s="179">
        <f>$S$10</f>
        <v>0.22159999999999999</v>
      </c>
      <c r="O32" s="242">
        <f t="shared" si="5"/>
        <v>0.24</v>
      </c>
      <c r="P32" s="243">
        <f>S9</f>
        <v>0.77839999999999998</v>
      </c>
      <c r="Q32" s="244">
        <f>ROUNDUP(P32*K32,2)</f>
        <v>0.88</v>
      </c>
      <c r="R32" s="501"/>
      <c r="S32" s="495"/>
      <c r="U32" s="406"/>
      <c r="V32" s="404">
        <f>Nebenkosten!H10/K11</f>
        <v>0.92</v>
      </c>
      <c r="W32" s="408">
        <f t="shared" si="3"/>
        <v>0.92</v>
      </c>
      <c r="X32" s="229"/>
      <c r="Y32" s="231"/>
    </row>
    <row r="33" spans="1:25" s="19" customFormat="1" ht="13.5" thickBot="1" x14ac:dyDescent="0.3">
      <c r="A33" s="477" t="s">
        <v>25</v>
      </c>
      <c r="B33" s="478"/>
      <c r="C33" s="478"/>
      <c r="D33" s="478"/>
      <c r="G33" s="30"/>
      <c r="H33" s="30"/>
      <c r="I33" s="30"/>
      <c r="J33" s="237">
        <v>1800</v>
      </c>
      <c r="K33" s="3">
        <f t="shared" si="4"/>
        <v>0.21</v>
      </c>
      <c r="L33"/>
      <c r="M33" s="274"/>
      <c r="N33" s="180">
        <v>0.9</v>
      </c>
      <c r="O33" s="242">
        <f>K33-S33</f>
        <v>0.19</v>
      </c>
      <c r="P33" s="490"/>
      <c r="Q33" s="491"/>
      <c r="R33" s="188">
        <v>0.1</v>
      </c>
      <c r="S33" s="189">
        <f>K33*R33</f>
        <v>0.02</v>
      </c>
      <c r="U33" s="406"/>
      <c r="V33" s="404"/>
      <c r="W33" s="408">
        <f t="shared" si="3"/>
        <v>0</v>
      </c>
      <c r="X33" s="229"/>
      <c r="Y33" s="231"/>
    </row>
    <row r="34" spans="1:25" s="19" customFormat="1" x14ac:dyDescent="0.25">
      <c r="A34" s="477" t="s">
        <v>26</v>
      </c>
      <c r="B34" s="478"/>
      <c r="C34" s="478"/>
      <c r="D34" s="478"/>
      <c r="G34" s="30"/>
      <c r="H34" s="30"/>
      <c r="I34" s="30"/>
      <c r="J34" s="237">
        <v>9965</v>
      </c>
      <c r="K34" s="3">
        <f t="shared" si="4"/>
        <v>1.1499999999999999</v>
      </c>
      <c r="L34"/>
      <c r="M34" s="274"/>
      <c r="N34" s="180">
        <v>0.33</v>
      </c>
      <c r="O34" s="242">
        <f>K34-Q34-S34</f>
        <v>0.37</v>
      </c>
      <c r="P34" s="243">
        <v>0.33</v>
      </c>
      <c r="Q34" s="244">
        <f>(P34*K34)</f>
        <v>0.38</v>
      </c>
      <c r="R34" s="245">
        <v>0.34</v>
      </c>
      <c r="S34" s="246">
        <f>ROUNDUP(R34*K34,2)</f>
        <v>0.4</v>
      </c>
      <c r="U34" s="406"/>
      <c r="V34" s="404">
        <f>Nebenkosten!H25/K11</f>
        <v>0.4</v>
      </c>
      <c r="W34" s="408">
        <f t="shared" si="3"/>
        <v>0.4</v>
      </c>
      <c r="X34" s="229"/>
      <c r="Y34" s="231"/>
    </row>
    <row r="35" spans="1:25" s="19" customFormat="1" x14ac:dyDescent="0.25">
      <c r="A35" s="477" t="s">
        <v>27</v>
      </c>
      <c r="B35" s="478"/>
      <c r="C35" s="478"/>
      <c r="D35" s="478"/>
      <c r="G35" s="30"/>
      <c r="H35" s="30"/>
      <c r="I35" s="30"/>
      <c r="J35" s="237">
        <v>2883</v>
      </c>
      <c r="K35" s="3">
        <f t="shared" si="4"/>
        <v>0.33</v>
      </c>
      <c r="L35"/>
      <c r="M35" s="274"/>
      <c r="N35" s="180">
        <f>$S$10</f>
        <v>0.22159999999999999</v>
      </c>
      <c r="O35" s="247">
        <f t="shared" ref="O35" si="6">ROUNDUP(N35*K35,2)</f>
        <v>0.08</v>
      </c>
      <c r="P35" s="243">
        <f>S9</f>
        <v>0.77839999999999998</v>
      </c>
      <c r="Q35" s="244">
        <f>K35-O35</f>
        <v>0.25</v>
      </c>
      <c r="R35" s="492"/>
      <c r="S35" s="493"/>
      <c r="U35" s="406"/>
      <c r="V35" s="404">
        <f>Nebenkosten!H18/K11</f>
        <v>0.27</v>
      </c>
      <c r="W35" s="408">
        <f t="shared" si="3"/>
        <v>0.27</v>
      </c>
      <c r="X35" s="229"/>
      <c r="Y35" s="231"/>
    </row>
    <row r="36" spans="1:25" s="19" customFormat="1" ht="13.5" thickBot="1" x14ac:dyDescent="0.3">
      <c r="A36" s="477" t="s">
        <v>28</v>
      </c>
      <c r="B36" s="478"/>
      <c r="C36" s="478"/>
      <c r="D36" s="478"/>
      <c r="G36" s="30"/>
      <c r="H36" s="30" t="s">
        <v>48</v>
      </c>
      <c r="I36" s="30"/>
      <c r="J36" s="237">
        <v>1097</v>
      </c>
      <c r="K36" s="3">
        <f t="shared" si="4"/>
        <v>0.13</v>
      </c>
      <c r="L36"/>
      <c r="M36" s="274"/>
      <c r="N36" s="181">
        <v>1</v>
      </c>
      <c r="O36" s="177">
        <f>K36</f>
        <v>0.13</v>
      </c>
      <c r="P36" s="496"/>
      <c r="Q36" s="493"/>
      <c r="R36" s="494"/>
      <c r="S36" s="495"/>
      <c r="U36" s="406"/>
      <c r="V36" s="406"/>
      <c r="W36" s="408"/>
    </row>
    <row r="37" spans="1:25" s="19" customFormat="1" x14ac:dyDescent="0.25">
      <c r="A37" s="477" t="s">
        <v>30</v>
      </c>
      <c r="B37" s="478"/>
      <c r="C37" s="478"/>
      <c r="D37" s="478"/>
      <c r="G37" s="30"/>
      <c r="H37" s="30"/>
      <c r="I37" s="30"/>
      <c r="J37" s="237">
        <v>3222</v>
      </c>
      <c r="K37" s="3">
        <f t="shared" si="4"/>
        <v>0.37</v>
      </c>
      <c r="L37"/>
      <c r="M37" s="274"/>
      <c r="N37" s="179">
        <v>0.5</v>
      </c>
      <c r="O37" s="173">
        <f>ROUNDUP(N37*K37,2)</f>
        <v>0.19</v>
      </c>
      <c r="P37" s="497"/>
      <c r="Q37" s="498"/>
      <c r="R37" s="188">
        <v>0.5</v>
      </c>
      <c r="S37" s="189">
        <f>K37-O37</f>
        <v>0.18</v>
      </c>
      <c r="U37" s="406"/>
      <c r="V37" s="406"/>
      <c r="W37" s="408"/>
    </row>
    <row r="38" spans="1:25" s="19" customFormat="1" ht="13.5" thickBot="1" x14ac:dyDescent="0.3">
      <c r="A38" s="477" t="s">
        <v>31</v>
      </c>
      <c r="B38" s="478"/>
      <c r="C38" s="478"/>
      <c r="D38" s="478"/>
      <c r="G38" s="30"/>
      <c r="H38" s="30"/>
      <c r="I38" s="30"/>
      <c r="J38" s="237"/>
      <c r="K38" s="3">
        <f t="shared" si="4"/>
        <v>0</v>
      </c>
      <c r="L38"/>
      <c r="M38" s="274"/>
      <c r="N38" s="180">
        <v>0.75</v>
      </c>
      <c r="O38" s="175">
        <f>ROUNDUP(N38*K38,2)</f>
        <v>0</v>
      </c>
      <c r="P38" s="499"/>
      <c r="Q38" s="495"/>
      <c r="R38" s="188">
        <v>0.25</v>
      </c>
      <c r="S38" s="189">
        <f>K38-O38</f>
        <v>0</v>
      </c>
      <c r="U38" s="406"/>
      <c r="V38" s="406"/>
      <c r="W38" s="408"/>
    </row>
    <row r="39" spans="1:25" s="19" customFormat="1" ht="13.5" thickBot="1" x14ac:dyDescent="0.3">
      <c r="A39" s="477" t="s">
        <v>32</v>
      </c>
      <c r="B39" s="478"/>
      <c r="C39" s="478"/>
      <c r="D39" s="478"/>
      <c r="G39" s="30"/>
      <c r="H39" s="30"/>
      <c r="I39" s="30"/>
      <c r="J39" s="237">
        <v>9241</v>
      </c>
      <c r="K39" s="3">
        <f t="shared" si="4"/>
        <v>1.07</v>
      </c>
      <c r="L39"/>
      <c r="M39" s="274"/>
      <c r="N39" s="180">
        <f>N18</f>
        <v>0.8</v>
      </c>
      <c r="O39" s="242">
        <f t="shared" ref="O39:O41" si="7">K39-Q39</f>
        <v>0.85</v>
      </c>
      <c r="P39" s="243">
        <f>P18</f>
        <v>0.2</v>
      </c>
      <c r="Q39" s="244">
        <f>ROUNDUP(P39*K39,2)</f>
        <v>0.22</v>
      </c>
      <c r="R39" s="472">
        <v>0</v>
      </c>
      <c r="S39" s="473"/>
      <c r="U39" s="406"/>
      <c r="V39" s="406">
        <f>Nebenkosten!H24/K11</f>
        <v>0.23</v>
      </c>
      <c r="W39" s="408">
        <f>U39+V39</f>
        <v>0.23</v>
      </c>
    </row>
    <row r="40" spans="1:25" s="19" customFormat="1" ht="13.5" thickBot="1" x14ac:dyDescent="0.3">
      <c r="A40" s="477" t="s">
        <v>33</v>
      </c>
      <c r="B40" s="478"/>
      <c r="C40" s="478"/>
      <c r="D40" s="478"/>
      <c r="G40" s="30"/>
      <c r="H40" s="30"/>
      <c r="I40" s="30"/>
      <c r="J40" s="237">
        <v>7473</v>
      </c>
      <c r="K40" s="3">
        <f t="shared" si="4"/>
        <v>0.86</v>
      </c>
      <c r="L40"/>
      <c r="M40" s="274"/>
      <c r="N40" s="180">
        <f>N18</f>
        <v>0.8</v>
      </c>
      <c r="O40" s="242">
        <f t="shared" si="7"/>
        <v>0.68</v>
      </c>
      <c r="P40" s="243">
        <f>P18</f>
        <v>0.2</v>
      </c>
      <c r="Q40" s="244">
        <f>ROUNDUP(P40*K40,2)</f>
        <v>0.18</v>
      </c>
      <c r="R40" s="474"/>
      <c r="S40" s="475"/>
      <c r="U40" s="406">
        <f>Wohnraumüberlassungskosten!E18/K11</f>
        <v>0.19</v>
      </c>
      <c r="V40" s="406"/>
      <c r="W40" s="408">
        <f>U40+V40</f>
        <v>0.19</v>
      </c>
    </row>
    <row r="41" spans="1:25" s="19" customFormat="1" ht="13.5" thickBot="1" x14ac:dyDescent="0.3">
      <c r="A41" s="477" t="s">
        <v>34</v>
      </c>
      <c r="B41" s="478"/>
      <c r="C41" s="478"/>
      <c r="D41" s="478"/>
      <c r="G41" s="30"/>
      <c r="H41" s="30"/>
      <c r="I41" s="30"/>
      <c r="J41" s="237">
        <v>10202</v>
      </c>
      <c r="K41" s="3">
        <f t="shared" si="4"/>
        <v>1.18</v>
      </c>
      <c r="L41"/>
      <c r="M41" s="274"/>
      <c r="N41" s="176">
        <f>S10</f>
        <v>0.22159999999999999</v>
      </c>
      <c r="O41" s="242">
        <f t="shared" si="7"/>
        <v>0.26</v>
      </c>
      <c r="P41" s="243">
        <f>$S$9</f>
        <v>0.77839999999999998</v>
      </c>
      <c r="Q41" s="244">
        <f>ROUNDUP(P41*K41,2)</f>
        <v>0.92</v>
      </c>
      <c r="R41" s="476"/>
      <c r="S41" s="475"/>
      <c r="U41" s="406"/>
      <c r="V41" s="406">
        <f>Nebenkosten!H4/B12</f>
        <v>0.94</v>
      </c>
      <c r="W41" s="408">
        <f>U41+V41</f>
        <v>0.94</v>
      </c>
    </row>
    <row r="42" spans="1:25" s="19" customFormat="1" ht="13.5" thickBot="1" x14ac:dyDescent="0.3">
      <c r="A42" s="489" t="s">
        <v>35</v>
      </c>
      <c r="B42" s="489"/>
      <c r="C42" s="489"/>
      <c r="D42" s="489"/>
      <c r="H42" s="32"/>
      <c r="J42" s="37">
        <f>SUM(J29:J41)</f>
        <v>148650</v>
      </c>
      <c r="K42" s="35">
        <f>SUM(K29:K41)</f>
        <v>17.16</v>
      </c>
      <c r="L42"/>
      <c r="M42" s="274"/>
      <c r="N42" s="53"/>
      <c r="O42" s="178">
        <f>O30+O31+O32+O33+O34+O35+O36+O37+O38+O39+O40+O41</f>
        <v>3.69</v>
      </c>
      <c r="P42" s="6"/>
      <c r="Q42" s="238">
        <f>Q41+Q40+Q39+Q35+Q34+Q32+Q31+Q30</f>
        <v>5.34</v>
      </c>
      <c r="R42" s="6"/>
      <c r="S42" s="248">
        <f>S38+S37+S34+S33+S29</f>
        <v>8.1300000000000008</v>
      </c>
      <c r="U42" s="407"/>
      <c r="V42" s="407"/>
      <c r="W42" s="409">
        <f>SUM(W30:W41)</f>
        <v>5.58</v>
      </c>
    </row>
    <row r="43" spans="1:25" s="19" customFormat="1" ht="6" customHeight="1" thickBot="1" x14ac:dyDescent="0.3">
      <c r="A43" s="12"/>
      <c r="B43" s="12"/>
      <c r="C43" s="12"/>
      <c r="D43" s="12"/>
      <c r="H43" s="32"/>
      <c r="I43" s="198"/>
      <c r="J43" s="198"/>
      <c r="K43" s="36"/>
      <c r="L43"/>
      <c r="M43" s="6"/>
      <c r="N43" s="53"/>
      <c r="O43" s="38"/>
      <c r="P43" s="6"/>
      <c r="Q43" s="6"/>
      <c r="R43" s="6"/>
      <c r="S43" s="6"/>
      <c r="U43" s="407"/>
      <c r="V43" s="407"/>
    </row>
    <row r="44" spans="1:25" s="19" customFormat="1" ht="13.5" thickBot="1" x14ac:dyDescent="0.3">
      <c r="A44" s="276" t="s">
        <v>251</v>
      </c>
      <c r="B44" s="276"/>
      <c r="C44" s="276"/>
      <c r="D44" s="276"/>
      <c r="G44" s="30"/>
      <c r="H44" s="30"/>
      <c r="I44" s="30"/>
      <c r="J44" s="237"/>
      <c r="K44" s="3">
        <f t="shared" ref="K44" si="8">IF(J44=0,I44/$K$11,J44/$K$11)</f>
        <v>0</v>
      </c>
      <c r="L44"/>
      <c r="N44" s="249">
        <v>1</v>
      </c>
      <c r="O44" s="250">
        <f t="shared" ref="O44" si="9">ROUNDUP(N44*K44,2)</f>
        <v>0</v>
      </c>
      <c r="P44" s="251"/>
      <c r="Q44" s="252"/>
      <c r="R44" s="253"/>
      <c r="S44" s="254"/>
      <c r="U44" s="407"/>
      <c r="V44" s="407"/>
    </row>
    <row r="45" spans="1:25" s="19" customFormat="1" ht="6" customHeight="1" x14ac:dyDescent="0.25">
      <c r="U45" s="407"/>
      <c r="V45" s="407"/>
    </row>
    <row r="46" spans="1:25" s="19" customFormat="1" ht="13.5" thickBot="1" x14ac:dyDescent="0.3">
      <c r="A46" s="76" t="s">
        <v>36</v>
      </c>
      <c r="B46" s="39"/>
      <c r="C46" s="39"/>
      <c r="D46" s="39"/>
      <c r="K46" s="33"/>
      <c r="L46"/>
      <c r="M46" s="6"/>
      <c r="N46" s="53"/>
      <c r="O46" s="6"/>
      <c r="P46" s="6"/>
      <c r="Q46" s="6"/>
      <c r="R46" s="6"/>
      <c r="S46" s="6"/>
      <c r="U46" s="407"/>
      <c r="V46" s="407"/>
    </row>
    <row r="47" spans="1:25" s="19" customFormat="1" x14ac:dyDescent="0.25">
      <c r="A47" s="477" t="s">
        <v>37</v>
      </c>
      <c r="B47" s="478"/>
      <c r="C47" s="478"/>
      <c r="D47" s="478"/>
      <c r="G47" s="30"/>
      <c r="H47" s="30"/>
      <c r="I47" s="30"/>
      <c r="J47" s="237">
        <v>1252</v>
      </c>
      <c r="K47" s="3">
        <f>J47/$K$11</f>
        <v>0.14000000000000001</v>
      </c>
      <c r="L47"/>
      <c r="N47" s="255">
        <f>$S$10</f>
        <v>0.22159999999999999</v>
      </c>
      <c r="O47" s="197">
        <f t="shared" ref="O47:O54" si="10">K47-Q47</f>
        <v>0.03</v>
      </c>
      <c r="P47" s="256">
        <f t="shared" ref="P47:P54" si="11">$S$9</f>
        <v>0.77839999999999998</v>
      </c>
      <c r="Q47" s="244">
        <f>ROUNDUP(P47*K47,2)</f>
        <v>0.11</v>
      </c>
      <c r="R47" s="482"/>
      <c r="S47" s="483"/>
      <c r="U47" s="406">
        <f>Wohnraumüberlassungskosten!E7/K11</f>
        <v>0.12</v>
      </c>
      <c r="V47" s="406"/>
      <c r="W47" s="408">
        <f t="shared" ref="W47:W55" si="12">U47+V47</f>
        <v>0.12</v>
      </c>
    </row>
    <row r="48" spans="1:25" s="19" customFormat="1" x14ac:dyDescent="0.25">
      <c r="A48" s="477" t="s">
        <v>38</v>
      </c>
      <c r="B48" s="478"/>
      <c r="C48" s="478"/>
      <c r="D48" s="478"/>
      <c r="G48" s="30"/>
      <c r="H48" s="30"/>
      <c r="I48" s="30"/>
      <c r="J48" s="237">
        <v>5813</v>
      </c>
      <c r="K48" s="3">
        <f t="shared" ref="K48:K55" si="13">J48/$K$11</f>
        <v>0.67</v>
      </c>
      <c r="L48"/>
      <c r="N48" s="255">
        <f t="shared" ref="N48:N54" si="14">$S$10</f>
        <v>0.22159999999999999</v>
      </c>
      <c r="O48" s="197">
        <f t="shared" si="10"/>
        <v>0.14000000000000001</v>
      </c>
      <c r="P48" s="183">
        <f t="shared" si="11"/>
        <v>0.77839999999999998</v>
      </c>
      <c r="Q48" s="244">
        <f t="shared" ref="Q48:Q55" si="15">ROUNDUP(P48*K48,2)</f>
        <v>0.53</v>
      </c>
      <c r="R48" s="484"/>
      <c r="S48" s="485"/>
      <c r="U48" s="406">
        <f>Wohnraumüberlassungskosten!E8/K11</f>
        <v>0.56000000000000005</v>
      </c>
      <c r="V48" s="406"/>
      <c r="W48" s="408">
        <f t="shared" si="12"/>
        <v>0.56000000000000005</v>
      </c>
    </row>
    <row r="49" spans="1:23" s="19" customFormat="1" x14ac:dyDescent="0.25">
      <c r="A49" s="477" t="s">
        <v>39</v>
      </c>
      <c r="B49" s="478"/>
      <c r="C49" s="478"/>
      <c r="D49" s="478"/>
      <c r="G49" s="30"/>
      <c r="H49" s="30"/>
      <c r="I49" s="30"/>
      <c r="J49" s="237">
        <v>17618</v>
      </c>
      <c r="K49" s="3">
        <f t="shared" si="13"/>
        <v>2.0299999999999998</v>
      </c>
      <c r="L49"/>
      <c r="N49" s="255">
        <f t="shared" si="14"/>
        <v>0.22159999999999999</v>
      </c>
      <c r="O49" s="197">
        <f t="shared" si="10"/>
        <v>0.44</v>
      </c>
      <c r="P49" s="183">
        <f t="shared" si="11"/>
        <v>0.77839999999999998</v>
      </c>
      <c r="Q49" s="244">
        <f t="shared" si="15"/>
        <v>1.59</v>
      </c>
      <c r="R49" s="484"/>
      <c r="S49" s="485"/>
      <c r="U49" s="406">
        <f>Wohnraumüberlassungskosten!E9/K11</f>
        <v>1.67</v>
      </c>
      <c r="V49" s="406">
        <f>Nebenkosten!H12</f>
        <v>0</v>
      </c>
      <c r="W49" s="408">
        <f t="shared" si="12"/>
        <v>1.67</v>
      </c>
    </row>
    <row r="50" spans="1:23" s="19" customFormat="1" x14ac:dyDescent="0.25">
      <c r="A50" s="477" t="s">
        <v>40</v>
      </c>
      <c r="B50" s="478"/>
      <c r="C50" s="478"/>
      <c r="D50" s="478"/>
      <c r="G50" s="30"/>
      <c r="H50" s="30"/>
      <c r="I50" s="30"/>
      <c r="J50" s="237"/>
      <c r="K50" s="3">
        <f t="shared" si="13"/>
        <v>0</v>
      </c>
      <c r="L50"/>
      <c r="N50" s="255">
        <f t="shared" si="14"/>
        <v>0.22159999999999999</v>
      </c>
      <c r="O50" s="197">
        <f t="shared" si="10"/>
        <v>0</v>
      </c>
      <c r="P50" s="183">
        <f t="shared" si="11"/>
        <v>0.77839999999999998</v>
      </c>
      <c r="Q50" s="244">
        <f t="shared" si="15"/>
        <v>0</v>
      </c>
      <c r="R50" s="484"/>
      <c r="S50" s="485"/>
      <c r="U50" s="406">
        <f>Wohnraumüberlassungskosten!E10/K11</f>
        <v>0</v>
      </c>
      <c r="V50" s="406"/>
      <c r="W50" s="408">
        <f t="shared" si="12"/>
        <v>0</v>
      </c>
    </row>
    <row r="51" spans="1:23" s="19" customFormat="1" x14ac:dyDescent="0.25">
      <c r="A51" s="477" t="s">
        <v>41</v>
      </c>
      <c r="B51" s="478"/>
      <c r="C51" s="478"/>
      <c r="D51" s="478"/>
      <c r="G51" s="30"/>
      <c r="H51" s="30"/>
      <c r="I51" s="30"/>
      <c r="J51" s="237">
        <v>5276</v>
      </c>
      <c r="K51" s="3">
        <f t="shared" si="13"/>
        <v>0.61</v>
      </c>
      <c r="L51"/>
      <c r="N51" s="255">
        <f t="shared" si="14"/>
        <v>0.22159999999999999</v>
      </c>
      <c r="O51" s="197">
        <f t="shared" si="10"/>
        <v>0.13</v>
      </c>
      <c r="P51" s="183">
        <f t="shared" si="11"/>
        <v>0.77839999999999998</v>
      </c>
      <c r="Q51" s="244">
        <f t="shared" si="15"/>
        <v>0.48</v>
      </c>
      <c r="R51" s="484"/>
      <c r="S51" s="485"/>
      <c r="U51" s="406">
        <f>Wohnraumüberlassungskosten!E11/K11</f>
        <v>0.51</v>
      </c>
      <c r="V51" s="406"/>
      <c r="W51" s="408">
        <f t="shared" si="12"/>
        <v>0.51</v>
      </c>
    </row>
    <row r="52" spans="1:23" s="19" customFormat="1" x14ac:dyDescent="0.25">
      <c r="A52" s="477" t="s">
        <v>42</v>
      </c>
      <c r="B52" s="478"/>
      <c r="C52" s="478"/>
      <c r="D52" s="478"/>
      <c r="G52" s="30"/>
      <c r="H52" s="30"/>
      <c r="I52" s="30"/>
      <c r="J52" s="237">
        <v>3130</v>
      </c>
      <c r="K52" s="3">
        <f t="shared" si="13"/>
        <v>0.36</v>
      </c>
      <c r="L52"/>
      <c r="N52" s="255">
        <f t="shared" si="14"/>
        <v>0.22159999999999999</v>
      </c>
      <c r="O52" s="197">
        <f t="shared" si="10"/>
        <v>7.0000000000000007E-2</v>
      </c>
      <c r="P52" s="183">
        <f t="shared" si="11"/>
        <v>0.77839999999999998</v>
      </c>
      <c r="Q52" s="244">
        <f t="shared" si="15"/>
        <v>0.28999999999999998</v>
      </c>
      <c r="R52" s="484"/>
      <c r="S52" s="485"/>
      <c r="U52" s="406">
        <f>Wohnraumüberlassungskosten!E12/K11</f>
        <v>0.31</v>
      </c>
      <c r="V52" s="406"/>
      <c r="W52" s="408">
        <f t="shared" si="12"/>
        <v>0.31</v>
      </c>
    </row>
    <row r="53" spans="1:23" s="19" customFormat="1" x14ac:dyDescent="0.25">
      <c r="A53" s="488" t="s">
        <v>43</v>
      </c>
      <c r="B53" s="488"/>
      <c r="C53" s="488"/>
      <c r="D53" s="488"/>
      <c r="G53" s="30"/>
      <c r="H53" s="30"/>
      <c r="J53" s="237">
        <v>10463</v>
      </c>
      <c r="K53" s="3">
        <f t="shared" si="13"/>
        <v>1.21</v>
      </c>
      <c r="L53"/>
      <c r="M53" s="33"/>
      <c r="N53" s="255">
        <f t="shared" si="14"/>
        <v>0.22159999999999999</v>
      </c>
      <c r="O53" s="197">
        <f t="shared" si="10"/>
        <v>0.26</v>
      </c>
      <c r="P53" s="183">
        <f t="shared" si="11"/>
        <v>0.77839999999999998</v>
      </c>
      <c r="Q53" s="244">
        <f t="shared" si="15"/>
        <v>0.95</v>
      </c>
      <c r="R53" s="484"/>
      <c r="S53" s="485"/>
      <c r="U53" s="406">
        <f>Wohnraumüberlassungskosten!E13/K11</f>
        <v>1</v>
      </c>
      <c r="V53" s="406"/>
      <c r="W53" s="408">
        <f t="shared" si="12"/>
        <v>1</v>
      </c>
    </row>
    <row r="54" spans="1:23" s="19" customFormat="1" ht="12.75" customHeight="1" x14ac:dyDescent="0.25">
      <c r="A54" s="257" t="s">
        <v>262</v>
      </c>
      <c r="B54" s="258"/>
      <c r="C54" s="258"/>
      <c r="D54" s="258"/>
      <c r="H54" s="43"/>
      <c r="I54" s="40"/>
      <c r="J54" s="237"/>
      <c r="K54" s="3">
        <f t="shared" si="13"/>
        <v>0</v>
      </c>
      <c r="L54"/>
      <c r="N54" s="255">
        <f t="shared" si="14"/>
        <v>0.22159999999999999</v>
      </c>
      <c r="O54" s="197">
        <f t="shared" si="10"/>
        <v>0</v>
      </c>
      <c r="P54" s="183">
        <f t="shared" si="11"/>
        <v>0.77839999999999998</v>
      </c>
      <c r="Q54" s="244">
        <f t="shared" si="15"/>
        <v>0</v>
      </c>
      <c r="R54" s="484"/>
      <c r="S54" s="485"/>
      <c r="U54" s="406">
        <f>Wohnraumüberlassungskosten!B19</f>
        <v>0</v>
      </c>
      <c r="V54" s="406"/>
      <c r="W54" s="408">
        <f t="shared" si="12"/>
        <v>0</v>
      </c>
    </row>
    <row r="55" spans="1:23" s="19" customFormat="1" ht="13.5" thickBot="1" x14ac:dyDescent="0.3">
      <c r="A55" s="259" t="s">
        <v>263</v>
      </c>
      <c r="B55" s="260"/>
      <c r="C55" s="260"/>
      <c r="D55" s="260"/>
      <c r="G55" s="43"/>
      <c r="H55" s="43"/>
      <c r="I55" s="40"/>
      <c r="J55" s="237"/>
      <c r="K55" s="3">
        <f t="shared" si="13"/>
        <v>0</v>
      </c>
      <c r="L55"/>
      <c r="M55" s="62"/>
      <c r="N55" s="62"/>
      <c r="O55" s="261"/>
      <c r="P55" s="184">
        <v>1</v>
      </c>
      <c r="Q55" s="244">
        <f t="shared" si="15"/>
        <v>0</v>
      </c>
      <c r="R55" s="486"/>
      <c r="S55" s="487"/>
      <c r="U55" s="406">
        <f>Wohnraumüberlassungskosten!B20</f>
        <v>0</v>
      </c>
      <c r="V55" s="406"/>
      <c r="W55" s="408">
        <f t="shared" si="12"/>
        <v>0</v>
      </c>
    </row>
    <row r="56" spans="1:23" s="19" customFormat="1" ht="13.5" thickBot="1" x14ac:dyDescent="0.3">
      <c r="A56" s="479" t="s">
        <v>44</v>
      </c>
      <c r="B56" s="479"/>
      <c r="C56" s="479"/>
      <c r="D56" s="479"/>
      <c r="H56" s="32"/>
      <c r="I56" s="66"/>
      <c r="J56" s="37">
        <f>SUM(J47:J55)</f>
        <v>43552</v>
      </c>
      <c r="K56" s="35">
        <f>SUM(K47:K55)</f>
        <v>5.0199999999999996</v>
      </c>
      <c r="L56"/>
      <c r="M56" s="6"/>
      <c r="N56" s="62"/>
      <c r="O56" s="182">
        <f>O47+O48+O49+O50+O51+O52+O53+O54+O55</f>
        <v>1.07</v>
      </c>
      <c r="P56" s="6"/>
      <c r="Q56" s="262">
        <f>Q47+Q48+Q49+Q50+Q51+Q52+Q53+Q54+Q55</f>
        <v>3.95</v>
      </c>
      <c r="R56" s="6"/>
      <c r="S56" s="6"/>
      <c r="U56" s="407"/>
      <c r="V56" s="407"/>
      <c r="W56" s="409">
        <f>SUM(W47:W55)</f>
        <v>4.17</v>
      </c>
    </row>
    <row r="57" spans="1:23" s="19" customFormat="1" ht="2.9" customHeight="1" thickBot="1" x14ac:dyDescent="0.3">
      <c r="K57" s="33"/>
      <c r="L57"/>
      <c r="M57" s="6"/>
      <c r="N57" s="6"/>
      <c r="O57" s="275"/>
      <c r="P57" s="6"/>
      <c r="Q57" s="6"/>
      <c r="R57" s="6"/>
      <c r="S57" s="6"/>
      <c r="U57" s="407"/>
      <c r="V57" s="407"/>
    </row>
    <row r="58" spans="1:23" s="19" customFormat="1" ht="19.5" customHeight="1" thickBot="1" x14ac:dyDescent="0.3">
      <c r="A58" s="480" t="s">
        <v>264</v>
      </c>
      <c r="B58" s="481"/>
      <c r="C58" s="481"/>
      <c r="D58" s="481"/>
      <c r="G58" s="46"/>
      <c r="H58" s="46"/>
      <c r="I58" s="41"/>
      <c r="J58" s="45">
        <f>J56+J42+J24</f>
        <v>771182</v>
      </c>
      <c r="K58" s="44">
        <f>K24+K42+K56</f>
        <v>88.98</v>
      </c>
      <c r="L58"/>
      <c r="N58" s="127"/>
      <c r="O58" s="178">
        <f>O24+O42+O56</f>
        <v>66.53</v>
      </c>
      <c r="P58" s="127"/>
      <c r="Q58" s="185">
        <f>Q56+Q42+Q24</f>
        <v>14.32</v>
      </c>
      <c r="R58" s="127"/>
      <c r="S58" s="190">
        <f>S42</f>
        <v>8.1300000000000008</v>
      </c>
      <c r="U58" s="407">
        <f>SUM(U18:U56)</f>
        <v>6.76</v>
      </c>
      <c r="V58" s="407">
        <f>SUM(V18:V56)</f>
        <v>8.16</v>
      </c>
      <c r="W58" s="408">
        <f>U58+V58</f>
        <v>14.92</v>
      </c>
    </row>
    <row r="59" spans="1:23" ht="2.9" customHeight="1" x14ac:dyDescent="0.3">
      <c r="A59" s="47"/>
      <c r="B59" s="47"/>
      <c r="C59" s="47"/>
      <c r="D59" s="47"/>
      <c r="E59" s="48"/>
      <c r="F59" s="48"/>
      <c r="G59" s="48"/>
      <c r="H59" s="48"/>
      <c r="I59" s="48"/>
      <c r="J59" s="48"/>
      <c r="K59" s="48"/>
      <c r="O59"/>
    </row>
    <row r="60" spans="1:23" ht="11.25" customHeight="1" x14ac:dyDescent="0.25">
      <c r="M60" s="63"/>
      <c r="N60" s="191"/>
      <c r="O60" s="417"/>
      <c r="Q60" s="51" t="s">
        <v>310</v>
      </c>
    </row>
    <row r="61" spans="1:23" ht="3.75" customHeight="1" x14ac:dyDescent="0.25">
      <c r="M61" s="63"/>
      <c r="N61" s="191"/>
      <c r="O61" s="252"/>
      <c r="Q61" s="263"/>
    </row>
    <row r="62" spans="1:23" ht="12.75" customHeight="1" x14ac:dyDescent="0.25">
      <c r="M62" s="63"/>
      <c r="N62" s="191" t="s">
        <v>319</v>
      </c>
      <c r="O62" s="197">
        <f>O58*0.95</f>
        <v>63.2</v>
      </c>
      <c r="Q62" s="38">
        <f>Q58*30.42</f>
        <v>435.61</v>
      </c>
      <c r="U62" s="407">
        <f>U58+V58</f>
        <v>14.92</v>
      </c>
    </row>
    <row r="63" spans="1:23" s="19" customFormat="1" ht="9" hidden="1" customHeight="1" x14ac:dyDescent="0.25">
      <c r="A63" s="49"/>
      <c r="B63" s="49"/>
      <c r="C63" s="49"/>
      <c r="D63" s="49"/>
      <c r="E63" s="50"/>
      <c r="F63" s="51"/>
      <c r="H63" s="59"/>
      <c r="I63" s="60"/>
      <c r="L63"/>
      <c r="M63" s="264"/>
      <c r="N63" s="264"/>
      <c r="O63" s="264"/>
      <c r="P63" s="264"/>
      <c r="Q63" s="265" t="s">
        <v>265</v>
      </c>
      <c r="R63" s="264"/>
      <c r="S63" s="264"/>
    </row>
    <row r="64" spans="1:23" ht="14" x14ac:dyDescent="0.25">
      <c r="A64" s="266" t="s">
        <v>266</v>
      </c>
      <c r="B64" s="267"/>
      <c r="C64" s="267"/>
      <c r="D64" s="267"/>
      <c r="E64" s="50"/>
      <c r="F64" s="50"/>
      <c r="G64" s="50"/>
      <c r="H64" s="50"/>
      <c r="I64" s="50"/>
      <c r="J64" s="50"/>
      <c r="K64" s="268">
        <f>K44+K26</f>
        <v>0</v>
      </c>
      <c r="L64" s="19"/>
      <c r="M64" s="269"/>
      <c r="N64" s="270"/>
      <c r="O64" s="268">
        <f>O44+O26</f>
        <v>0</v>
      </c>
      <c r="P64" s="271"/>
      <c r="R64" s="129"/>
      <c r="S64" s="130"/>
      <c r="T64" s="129"/>
    </row>
    <row r="65" spans="1:20" s="51" customFormat="1" ht="10" x14ac:dyDescent="0.2">
      <c r="E65" s="52"/>
      <c r="F65" s="52"/>
      <c r="G65" s="52"/>
      <c r="H65" s="52"/>
      <c r="I65" s="52"/>
      <c r="J65" s="52"/>
      <c r="K65" s="52"/>
      <c r="M65" s="53"/>
      <c r="N65" s="53"/>
      <c r="O65" s="53"/>
      <c r="P65" s="54"/>
      <c r="Q65" s="56"/>
      <c r="R65" s="54"/>
      <c r="S65" s="56"/>
    </row>
    <row r="66" spans="1:20" s="51" customFormat="1" ht="10" x14ac:dyDescent="0.2">
      <c r="M66" s="53"/>
      <c r="N66" s="53"/>
      <c r="O66" s="53"/>
      <c r="P66" s="55"/>
      <c r="Q66" s="128"/>
      <c r="R66" s="54"/>
      <c r="S66" s="56"/>
    </row>
    <row r="67" spans="1:20" s="51" customFormat="1" ht="10" x14ac:dyDescent="0.2">
      <c r="M67" s="53"/>
      <c r="N67" s="53"/>
      <c r="O67" s="53"/>
      <c r="P67" s="55"/>
      <c r="Q67" s="272"/>
      <c r="R67" s="54"/>
      <c r="S67" s="56"/>
    </row>
    <row r="68" spans="1:20" s="51" customFormat="1" ht="10" x14ac:dyDescent="0.2">
      <c r="M68" s="53"/>
      <c r="N68" s="53"/>
      <c r="O68" s="53"/>
      <c r="P68" s="57"/>
      <c r="R68" s="54"/>
      <c r="S68" s="64"/>
    </row>
    <row r="69" spans="1:20" x14ac:dyDescent="0.25">
      <c r="A69" s="51"/>
      <c r="B69" s="14"/>
      <c r="C69" s="14"/>
      <c r="D69" s="14"/>
      <c r="M69" s="58"/>
      <c r="N69" s="58"/>
      <c r="O69" s="58"/>
    </row>
    <row r="71" spans="1:20" s="9" customFormat="1" x14ac:dyDescent="0.25">
      <c r="A71"/>
      <c r="B71"/>
      <c r="C71"/>
      <c r="D71"/>
      <c r="E71"/>
      <c r="F71"/>
      <c r="G71"/>
      <c r="H71"/>
      <c r="I71"/>
      <c r="J71"/>
      <c r="K71"/>
      <c r="L71"/>
      <c r="M71" s="6"/>
      <c r="N71" s="6"/>
      <c r="O71" s="6"/>
      <c r="P71" s="6"/>
      <c r="Q71" s="6"/>
      <c r="R71" s="6"/>
      <c r="S71" s="6"/>
      <c r="T71"/>
    </row>
    <row r="72" spans="1:20" s="9" customFormat="1" x14ac:dyDescent="0.25">
      <c r="A72"/>
      <c r="B72"/>
      <c r="C72"/>
      <c r="D72"/>
      <c r="E72"/>
      <c r="F72"/>
      <c r="G72"/>
      <c r="H72"/>
      <c r="I72"/>
      <c r="J72"/>
      <c r="K72"/>
      <c r="L72"/>
      <c r="M72" s="6"/>
      <c r="N72" s="6"/>
      <c r="O72" s="6"/>
      <c r="P72" s="6"/>
      <c r="Q72" s="6"/>
      <c r="R72" s="6"/>
      <c r="S72" s="6"/>
      <c r="T72"/>
    </row>
    <row r="73" spans="1:20" s="9" customFormat="1" x14ac:dyDescent="0.25">
      <c r="A73"/>
      <c r="B73"/>
      <c r="C73"/>
      <c r="D73"/>
      <c r="E73"/>
      <c r="F73"/>
      <c r="G73"/>
      <c r="H73"/>
      <c r="I73"/>
      <c r="J73"/>
      <c r="K73"/>
      <c r="L73"/>
      <c r="M73" s="6"/>
      <c r="N73" s="6"/>
      <c r="O73" s="6"/>
      <c r="P73" s="6"/>
      <c r="Q73" s="6"/>
      <c r="R73" s="6"/>
      <c r="S73" s="6"/>
      <c r="T73"/>
    </row>
    <row r="74" spans="1:20" s="9" customFormat="1" x14ac:dyDescent="0.25">
      <c r="A74"/>
      <c r="B74"/>
      <c r="C74"/>
      <c r="D74"/>
      <c r="E74"/>
      <c r="F74"/>
      <c r="G74"/>
      <c r="H74"/>
      <c r="I74"/>
      <c r="J74"/>
      <c r="K74"/>
      <c r="L74"/>
      <c r="M74" s="6"/>
      <c r="N74" s="6"/>
      <c r="O74" s="6"/>
      <c r="P74" s="6"/>
      <c r="Q74" s="6"/>
      <c r="R74" s="6"/>
      <c r="S74" s="6"/>
      <c r="T74"/>
    </row>
    <row r="75" spans="1:20" s="9" customFormat="1" x14ac:dyDescent="0.25">
      <c r="A75"/>
      <c r="B75"/>
      <c r="C75"/>
      <c r="D75"/>
      <c r="E75"/>
      <c r="F75"/>
      <c r="G75"/>
      <c r="H75"/>
      <c r="I75"/>
      <c r="J75"/>
      <c r="K75"/>
      <c r="L75"/>
      <c r="M75" s="6"/>
      <c r="N75" s="6"/>
      <c r="O75" s="6"/>
      <c r="P75" s="6"/>
      <c r="Q75" s="6"/>
      <c r="R75" s="6"/>
      <c r="S75" s="6"/>
      <c r="T75"/>
    </row>
    <row r="76" spans="1:20" s="9" customFormat="1" x14ac:dyDescent="0.25">
      <c r="A76"/>
      <c r="B76"/>
      <c r="C76"/>
      <c r="D76"/>
      <c r="E76"/>
      <c r="F76"/>
      <c r="G76"/>
      <c r="H76"/>
      <c r="I76"/>
      <c r="J76"/>
      <c r="K76"/>
      <c r="L76"/>
      <c r="M76" s="6"/>
      <c r="N76" s="6"/>
      <c r="O76" s="6"/>
      <c r="P76" s="6"/>
      <c r="Q76" s="6"/>
      <c r="R76" s="6"/>
      <c r="S76" s="6"/>
      <c r="T76"/>
    </row>
    <row r="77" spans="1:20" s="9" customFormat="1" x14ac:dyDescent="0.25">
      <c r="A77"/>
      <c r="B77"/>
      <c r="C77"/>
      <c r="D77"/>
      <c r="E77"/>
      <c r="F77"/>
      <c r="G77"/>
      <c r="H77"/>
      <c r="I77"/>
      <c r="J77"/>
      <c r="K77"/>
      <c r="L77"/>
      <c r="M77" s="6"/>
      <c r="N77" s="6"/>
      <c r="O77" s="6"/>
      <c r="P77" s="6"/>
      <c r="Q77" s="6"/>
      <c r="R77" s="6"/>
      <c r="S77" s="6"/>
      <c r="T77"/>
    </row>
  </sheetData>
  <sheetProtection sheet="1" objects="1" scenarios="1"/>
  <mergeCells count="60">
    <mergeCell ref="U9:W12"/>
    <mergeCell ref="U4:W7"/>
    <mergeCell ref="B7:H7"/>
    <mergeCell ref="H15:H17"/>
    <mergeCell ref="I15:I17"/>
    <mergeCell ref="J15:J17"/>
    <mergeCell ref="K15:K17"/>
    <mergeCell ref="B9:D9"/>
    <mergeCell ref="R4:S4"/>
    <mergeCell ref="R6:S6"/>
    <mergeCell ref="B6:H6"/>
    <mergeCell ref="B1:D1"/>
    <mergeCell ref="M1:S1"/>
    <mergeCell ref="B2:D2"/>
    <mergeCell ref="M2:S2"/>
    <mergeCell ref="F1:K2"/>
    <mergeCell ref="A14:A15"/>
    <mergeCell ref="A19:D19"/>
    <mergeCell ref="A18:D18"/>
    <mergeCell ref="U15:V15"/>
    <mergeCell ref="R15:S17"/>
    <mergeCell ref="M16:M17"/>
    <mergeCell ref="N16:O16"/>
    <mergeCell ref="N17:O17"/>
    <mergeCell ref="M15:O15"/>
    <mergeCell ref="P15:Q17"/>
    <mergeCell ref="A23:D23"/>
    <mergeCell ref="A20:D20"/>
    <mergeCell ref="A21:D21"/>
    <mergeCell ref="A22:D22"/>
    <mergeCell ref="A24:D24"/>
    <mergeCell ref="A29:D29"/>
    <mergeCell ref="A30:D30"/>
    <mergeCell ref="R30:S32"/>
    <mergeCell ref="A32:D32"/>
    <mergeCell ref="A26:D26"/>
    <mergeCell ref="R35:S36"/>
    <mergeCell ref="A36:D36"/>
    <mergeCell ref="P36:Q38"/>
    <mergeCell ref="A37:D37"/>
    <mergeCell ref="A38:D38"/>
    <mergeCell ref="A33:D33"/>
    <mergeCell ref="P33:Q33"/>
    <mergeCell ref="A34:D34"/>
    <mergeCell ref="A35:D35"/>
    <mergeCell ref="A39:D39"/>
    <mergeCell ref="R39:S41"/>
    <mergeCell ref="A40:D40"/>
    <mergeCell ref="A41:D41"/>
    <mergeCell ref="A56:D56"/>
    <mergeCell ref="A58:D58"/>
    <mergeCell ref="A47:D47"/>
    <mergeCell ref="R47:S55"/>
    <mergeCell ref="A48:D48"/>
    <mergeCell ref="A49:D49"/>
    <mergeCell ref="A50:D50"/>
    <mergeCell ref="A51:D51"/>
    <mergeCell ref="A52:D52"/>
    <mergeCell ref="A53:D53"/>
    <mergeCell ref="A42:D42"/>
  </mergeCells>
  <conditionalFormatting sqref="A2 E2 L2:S2 A3:S5 A6:B7 I6:S7 T9:T10 AB9:XFD10 E10:H10 J10:S10 Y11:XFD13 A11:T14 E15:L17 A15:D19 T15:T59 J18:L18 E18:I22 J19:J22 K19:L23 A20 A21:D25 E23:J23 I29:I41 J29:L44 N30:O41 P31:Q41 T60:U63 A64:K64 U64:U1048576">
    <cfRule type="containsErrors" dxfId="32" priority="57">
      <formula>ISERROR(A2)</formula>
    </cfRule>
  </conditionalFormatting>
  <conditionalFormatting sqref="A27:D44">
    <cfRule type="containsErrors" dxfId="31" priority="1">
      <formula>ISERROR(A27)</formula>
    </cfRule>
  </conditionalFormatting>
  <conditionalFormatting sqref="A1:F1">
    <cfRule type="containsErrors" dxfId="30" priority="3">
      <formula>ISERROR(A1)</formula>
    </cfRule>
  </conditionalFormatting>
  <conditionalFormatting sqref="A26:S26">
    <cfRule type="containsErrors" dxfId="29" priority="26">
      <formula>ISERROR(A26)</formula>
    </cfRule>
  </conditionalFormatting>
  <conditionalFormatting sqref="A46:S59">
    <cfRule type="containsErrors" dxfId="28" priority="6">
      <formula>ISERROR(A46)</formula>
    </cfRule>
  </conditionalFormatting>
  <conditionalFormatting sqref="B9:S9 B10">
    <cfRule type="containsErrors" dxfId="27" priority="47">
      <formula>ISERROR(B9)</formula>
    </cfRule>
  </conditionalFormatting>
  <conditionalFormatting sqref="E29:H44">
    <cfRule type="containsErrors" dxfId="26" priority="56">
      <formula>ISERROR(E29)</formula>
    </cfRule>
  </conditionalFormatting>
  <conditionalFormatting sqref="I43:I44">
    <cfRule type="containsErrors" dxfId="25" priority="44">
      <formula>ISERROR(I43)</formula>
    </cfRule>
  </conditionalFormatting>
  <conditionalFormatting sqref="L61:S62">
    <cfRule type="containsErrors" dxfId="24" priority="37">
      <formula>ISERROR(L61)</formula>
    </cfRule>
  </conditionalFormatting>
  <conditionalFormatting sqref="L1:W1 X1:XFD7 T2:W3 U4 T4:T7 A8:XFD8 A9:A10 V14:XFD14 W15:XFD15 V16:XFD57 W58:XFD58 V59:XFD1048576 L60:P60 R60:S60 M64:P64 R64:T64 A65:T67 A68:P68 R68:T68 A69:T1048576">
    <cfRule type="containsErrors" dxfId="23" priority="46">
      <formula>ISERROR(A1)</formula>
    </cfRule>
  </conditionalFormatting>
  <conditionalFormatting sqref="M15:S15 M16:N17 P16:S17 E24:S25 E27:S28 N42:S42 A63:S63">
    <cfRule type="containsErrors" dxfId="22" priority="42">
      <formula>ISERROR(A15)</formula>
    </cfRule>
  </conditionalFormatting>
  <conditionalFormatting sqref="M43:S44">
    <cfRule type="containsErrors" dxfId="21" priority="33">
      <formula>ISERROR(M43)</formula>
    </cfRule>
  </conditionalFormatting>
  <conditionalFormatting sqref="N29:Q29">
    <cfRule type="containsErrors" dxfId="20" priority="35">
      <formula>ISERROR(N29)</formula>
    </cfRule>
  </conditionalFormatting>
  <conditionalFormatting sqref="P30">
    <cfRule type="containsErrors" dxfId="19" priority="31">
      <formula>ISERROR(P30)</formula>
    </cfRule>
  </conditionalFormatting>
  <conditionalFormatting sqref="Q30:Q32">
    <cfRule type="containsErrors" dxfId="18" priority="22">
      <formula>ISERROR(Q30)</formula>
    </cfRule>
  </conditionalFormatting>
  <conditionalFormatting sqref="Q34:Q35">
    <cfRule type="containsErrors" dxfId="17" priority="18">
      <formula>ISERROR(Q34)</formula>
    </cfRule>
  </conditionalFormatting>
  <conditionalFormatting sqref="Q39:Q41">
    <cfRule type="containsErrors" dxfId="16" priority="12">
      <formula>ISERROR(Q39)</formula>
    </cfRule>
  </conditionalFormatting>
  <conditionalFormatting sqref="R29:S41">
    <cfRule type="containsErrors" dxfId="15" priority="4">
      <formula>ISERROR(R29)</formula>
    </cfRule>
  </conditionalFormatting>
  <dataValidations disablePrompts="1" count="1">
    <dataValidation type="list" allowBlank="1" showInputMessage="1" showErrorMessage="1" sqref="U9" xr:uid="{DCCB2809-E92C-46A7-9E2D-4DFB15EB716B}">
      <mc:AlternateContent xmlns:x12ac="http://schemas.microsoft.com/office/spreadsheetml/2011/1/ac" xmlns:mc="http://schemas.openxmlformats.org/markup-compatibility/2006">
        <mc:Choice Requires="x12ac">
          <x12ac:list>"Mietpreiskalkulation  entspr. KSV Kalkulation auf 100% Auslastung, dadurch ein etwas höherer Mietpreis als bei realer Auslastung", reale Auslastung und keine KSV Anpassung</x12ac:list>
        </mc:Choice>
        <mc:Fallback>
          <formula1>"Mietpreiskalkulation  entspr. KSV Kalkulation auf 100% Auslastung, dadurch ein etwas höherer Mietpreis als bei realer Auslastung, reale Auslastung und keine KSV Anpassung"</formula1>
        </mc:Fallback>
      </mc:AlternateContent>
    </dataValidation>
  </dataValidations>
  <pageMargins left="0.59055118110236227" right="0.55118110236220474" top="0.59055118110236227" bottom="0.39370078740157483" header="0.51181102362204722" footer="0.51181102362204722"/>
  <pageSetup paperSize="9" scale="70" orientation="landscape" r:id="rId1"/>
  <headerFooter alignWithMargins="0">
    <oddHeader>&amp;L&amp;8Landesrahmenvertrag Sachsen
&amp;R&amp;8Bearbeitungsstand       29.09.2025</oddHeader>
    <oddFooter>&amp;L&amp;8&amp;F&amp;C&amp;8&amp;A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R35"/>
  <sheetViews>
    <sheetView showGridLines="0" view="pageLayout" topLeftCell="A3" zoomScaleNormal="100" workbookViewId="0">
      <selection activeCell="H32" sqref="H32"/>
    </sheetView>
  </sheetViews>
  <sheetFormatPr baseColWidth="10" defaultColWidth="11.26953125" defaultRowHeight="14" x14ac:dyDescent="0.3"/>
  <cols>
    <col min="1" max="1" width="31.453125" style="132" customWidth="1"/>
    <col min="2" max="2" width="16.26953125" style="132" bestFit="1" customWidth="1"/>
    <col min="3" max="3" width="31.54296875" style="132" customWidth="1"/>
    <col min="4" max="4" width="2.7265625" style="132" customWidth="1"/>
    <col min="5" max="5" width="13.7265625" style="132" customWidth="1"/>
    <col min="6" max="6" width="1.7265625" style="132" customWidth="1"/>
    <col min="7" max="7" width="13.453125" style="132" customWidth="1"/>
    <col min="8" max="8" width="11.81640625" style="132" customWidth="1"/>
    <col min="9" max="9" width="2.7265625" style="132" customWidth="1"/>
    <col min="10" max="10" width="4" style="132" customWidth="1"/>
    <col min="11" max="11" width="7.7265625" style="132" customWidth="1"/>
    <col min="12" max="12" width="3.54296875" style="132" customWidth="1"/>
    <col min="13" max="13" width="3.81640625" style="132" customWidth="1"/>
    <col min="14" max="16384" width="11.26953125" style="132"/>
  </cols>
  <sheetData>
    <row r="1" spans="1:11" x14ac:dyDescent="0.3">
      <c r="A1" s="144" t="s">
        <v>409</v>
      </c>
    </row>
    <row r="2" spans="1:11" ht="5.9" customHeight="1" x14ac:dyDescent="0.3"/>
    <row r="3" spans="1:11" x14ac:dyDescent="0.3">
      <c r="A3" s="132" t="s">
        <v>246</v>
      </c>
      <c r="B3" s="227">
        <f>'Vereinbarung 2026'!J24</f>
        <v>578980</v>
      </c>
      <c r="C3" s="132" t="s">
        <v>404</v>
      </c>
    </row>
    <row r="4" spans="1:11" x14ac:dyDescent="0.3">
      <c r="A4" s="132" t="s">
        <v>247</v>
      </c>
      <c r="B4" s="227">
        <f>'Vereinbarung 2026'!J42</f>
        <v>148650</v>
      </c>
      <c r="C4" s="132" t="s">
        <v>404</v>
      </c>
    </row>
    <row r="5" spans="1:11" x14ac:dyDescent="0.3">
      <c r="A5" s="132" t="s">
        <v>248</v>
      </c>
      <c r="B5" s="227">
        <f>'Vereinbarung 2026'!J56</f>
        <v>43552</v>
      </c>
      <c r="C5" s="132" t="s">
        <v>404</v>
      </c>
    </row>
    <row r="6" spans="1:11" x14ac:dyDescent="0.3">
      <c r="B6" s="227"/>
    </row>
    <row r="7" spans="1:11" x14ac:dyDescent="0.3">
      <c r="A7" s="132" t="s">
        <v>190</v>
      </c>
      <c r="B7" s="227">
        <f>'Vereinbarung 2026'!J58</f>
        <v>771182</v>
      </c>
      <c r="C7" s="227"/>
      <c r="D7" s="145"/>
      <c r="J7" s="145"/>
    </row>
    <row r="8" spans="1:11" ht="5.9" customHeight="1" x14ac:dyDescent="0.3"/>
    <row r="9" spans="1:11" x14ac:dyDescent="0.3">
      <c r="A9" s="144" t="s">
        <v>410</v>
      </c>
    </row>
    <row r="10" spans="1:11" x14ac:dyDescent="0.3">
      <c r="B10" s="140"/>
    </row>
    <row r="11" spans="1:11" x14ac:dyDescent="0.3">
      <c r="A11" s="132" t="s">
        <v>194</v>
      </c>
      <c r="B11" s="228">
        <f>'Vereinbarung 2026'!O58*'Vereinbarung 2026'!K11</f>
        <v>576749</v>
      </c>
      <c r="C11" s="132" t="s">
        <v>404</v>
      </c>
      <c r="G11" s="145"/>
    </row>
    <row r="12" spans="1:11" x14ac:dyDescent="0.3">
      <c r="A12" s="132" t="s">
        <v>193</v>
      </c>
      <c r="B12" s="228">
        <f>'Vereinbarung 2026'!S58*'Vereinbarung 2026'!K11</f>
        <v>70479</v>
      </c>
      <c r="C12" s="132" t="s">
        <v>245</v>
      </c>
      <c r="G12" s="145"/>
    </row>
    <row r="13" spans="1:11" x14ac:dyDescent="0.3">
      <c r="A13" s="132" t="s">
        <v>191</v>
      </c>
      <c r="B13" s="228">
        <f>C13*E13*J13</f>
        <v>59572</v>
      </c>
      <c r="C13" s="146">
        <f>Wohnraumüberlassungskosten!D28</f>
        <v>7.41</v>
      </c>
      <c r="D13" s="147" t="s">
        <v>197</v>
      </c>
      <c r="E13" s="148">
        <f>Wohnraumüberlassungskosten!B28</f>
        <v>669.95</v>
      </c>
      <c r="F13" s="132" t="s">
        <v>196</v>
      </c>
      <c r="I13" s="149" t="str">
        <f>D13</f>
        <v>X</v>
      </c>
      <c r="J13" s="132">
        <v>12</v>
      </c>
      <c r="K13" s="132" t="s">
        <v>198</v>
      </c>
    </row>
    <row r="14" spans="1:11" x14ac:dyDescent="0.3">
      <c r="A14" s="132" t="s">
        <v>192</v>
      </c>
      <c r="B14" s="228">
        <f>C14*E14*J14</f>
        <v>70988</v>
      </c>
      <c r="C14" s="150">
        <f>Nebenkosten!E27</f>
        <v>8.83</v>
      </c>
      <c r="D14" s="147" t="s">
        <v>197</v>
      </c>
      <c r="E14" s="148">
        <f>E13</f>
        <v>669.95</v>
      </c>
      <c r="F14" s="132" t="s">
        <v>196</v>
      </c>
      <c r="I14" s="149" t="str">
        <f>D14</f>
        <v>X</v>
      </c>
      <c r="J14" s="132">
        <v>12</v>
      </c>
      <c r="K14" s="132" t="s">
        <v>198</v>
      </c>
    </row>
    <row r="15" spans="1:11" x14ac:dyDescent="0.3">
      <c r="B15" s="228"/>
      <c r="D15" s="140"/>
    </row>
    <row r="16" spans="1:11" x14ac:dyDescent="0.3">
      <c r="A16" s="132" t="s">
        <v>190</v>
      </c>
      <c r="B16" s="228">
        <f>SUM(B11:B15)</f>
        <v>777788</v>
      </c>
      <c r="K16" s="403"/>
    </row>
    <row r="17" spans="1:18" x14ac:dyDescent="0.3">
      <c r="K17" s="51"/>
      <c r="L17" s="51"/>
      <c r="M17" s="51"/>
      <c r="N17" s="51"/>
      <c r="O17" s="51"/>
      <c r="P17" s="51"/>
      <c r="Q17" s="51"/>
      <c r="R17" s="51"/>
    </row>
    <row r="18" spans="1:18" x14ac:dyDescent="0.3">
      <c r="A18" s="132" t="s">
        <v>207</v>
      </c>
      <c r="B18" s="157">
        <f>B16-B7</f>
        <v>6606</v>
      </c>
      <c r="C18" s="51"/>
      <c r="K18" s="140"/>
    </row>
    <row r="19" spans="1:18" ht="5.9" customHeight="1" x14ac:dyDescent="0.3"/>
    <row r="20" spans="1:18" x14ac:dyDescent="0.3">
      <c r="A20" s="552" t="s">
        <v>252</v>
      </c>
      <c r="B20" s="552"/>
      <c r="C20" s="552"/>
      <c r="D20" s="552"/>
      <c r="E20" s="552"/>
      <c r="F20" s="552"/>
    </row>
    <row r="21" spans="1:18" x14ac:dyDescent="0.3">
      <c r="B21" s="132" t="s">
        <v>204</v>
      </c>
      <c r="C21" s="154" t="s">
        <v>192</v>
      </c>
      <c r="E21" s="132" t="s">
        <v>205</v>
      </c>
      <c r="G21" s="195" t="s">
        <v>225</v>
      </c>
      <c r="H21" s="154"/>
    </row>
    <row r="22" spans="1:18" x14ac:dyDescent="0.3">
      <c r="A22" s="132" t="s">
        <v>253</v>
      </c>
      <c r="B22" s="148">
        <f>Stammblatt!D53/Stammblatt!D34</f>
        <v>14</v>
      </c>
      <c r="C22" s="153">
        <f>C24</f>
        <v>8.83</v>
      </c>
      <c r="E22" s="153">
        <f>Wohnraumüberlassungskosten!D28</f>
        <v>7.41</v>
      </c>
      <c r="G22" s="140">
        <f>B22*C22+B22*E22</f>
        <v>227.36</v>
      </c>
      <c r="H22" s="548">
        <f>B24*C24+B24*E24</f>
        <v>435.23</v>
      </c>
    </row>
    <row r="23" spans="1:18" x14ac:dyDescent="0.3">
      <c r="A23" s="132" t="s">
        <v>73</v>
      </c>
      <c r="B23" s="148">
        <f>Stammblatt!D54/Stammblatt!D34</f>
        <v>12.79</v>
      </c>
      <c r="C23" s="153">
        <f>C22</f>
        <v>8.83</v>
      </c>
      <c r="E23" s="153">
        <f>Wohnraumüberlassungskosten!D28</f>
        <v>7.41</v>
      </c>
      <c r="G23" s="140">
        <f t="shared" ref="G23:G24" si="0">B23*C23+B23*E23</f>
        <v>207.71</v>
      </c>
      <c r="H23" s="549"/>
      <c r="K23" s="140"/>
    </row>
    <row r="24" spans="1:18" x14ac:dyDescent="0.3">
      <c r="A24" s="132" t="s">
        <v>71</v>
      </c>
      <c r="B24" s="148">
        <f>Stammblatt!D52/Stammblatt!D34</f>
        <v>26.8</v>
      </c>
      <c r="C24" s="153">
        <f>Nebenkosten!E27</f>
        <v>8.83</v>
      </c>
      <c r="D24" s="153"/>
      <c r="E24" s="153">
        <f>Wohnraumüberlassungskosten!D28</f>
        <v>7.41</v>
      </c>
      <c r="G24" s="140">
        <f t="shared" si="0"/>
        <v>435.23</v>
      </c>
      <c r="H24" s="550"/>
    </row>
    <row r="25" spans="1:18" ht="5.9" customHeight="1" x14ac:dyDescent="0.3"/>
    <row r="26" spans="1:18" x14ac:dyDescent="0.3">
      <c r="A26" s="144" t="s">
        <v>237</v>
      </c>
    </row>
    <row r="27" spans="1:18" ht="27.75" customHeight="1" x14ac:dyDescent="0.3">
      <c r="A27" s="551" t="s">
        <v>226</v>
      </c>
      <c r="B27" s="551"/>
      <c r="C27" s="212" t="s">
        <v>239</v>
      </c>
      <c r="D27" s="155"/>
      <c r="E27" s="155"/>
      <c r="G27" s="156"/>
      <c r="H27" s="156" t="s">
        <v>206</v>
      </c>
    </row>
    <row r="28" spans="1:18" ht="15" customHeight="1" x14ac:dyDescent="0.3">
      <c r="A28" s="196" t="s">
        <v>232</v>
      </c>
      <c r="B28" s="148"/>
      <c r="C28" s="204"/>
      <c r="E28" s="153"/>
      <c r="G28" s="153"/>
      <c r="H28" s="365">
        <f>VLOOKUP(C27,Landkreise!A2:B66,2,FALSE)</f>
        <v>0</v>
      </c>
    </row>
    <row r="29" spans="1:18" ht="9.75" customHeight="1" x14ac:dyDescent="0.3">
      <c r="A29" s="196"/>
      <c r="B29" s="148"/>
      <c r="C29" s="204"/>
      <c r="E29" s="153"/>
      <c r="G29" s="153"/>
      <c r="H29" s="203"/>
    </row>
    <row r="30" spans="1:18" ht="26.25" customHeight="1" x14ac:dyDescent="0.3">
      <c r="A30" s="551" t="s">
        <v>234</v>
      </c>
      <c r="B30" s="551"/>
      <c r="C30" s="551"/>
      <c r="D30" s="551"/>
      <c r="E30" s="551"/>
      <c r="G30" s="153"/>
      <c r="H30" s="213" t="s">
        <v>228</v>
      </c>
    </row>
    <row r="31" spans="1:18" ht="9" customHeight="1" x14ac:dyDescent="0.3">
      <c r="A31" s="199"/>
      <c r="B31" s="199"/>
      <c r="C31" s="199"/>
      <c r="D31" s="199"/>
      <c r="E31" s="199"/>
      <c r="G31" s="153"/>
      <c r="H31" s="203"/>
    </row>
    <row r="32" spans="1:18" ht="18" customHeight="1" x14ac:dyDescent="0.3">
      <c r="A32" s="132" t="s">
        <v>233</v>
      </c>
      <c r="B32" s="148"/>
      <c r="E32" s="153"/>
      <c r="F32" s="140"/>
      <c r="H32" s="140">
        <f>IF(H30="ja",H28*125%,"nein")</f>
        <v>0</v>
      </c>
    </row>
    <row r="33" spans="1:8" ht="18.75" customHeight="1" x14ac:dyDescent="0.3">
      <c r="A33" s="132" t="s">
        <v>236</v>
      </c>
      <c r="H33" s="157">
        <f>IF(H30="bitte auswählen",0,IF(H22&lt;H28,H22,IF(H30="nein",H28,IF(AND(H30="ja",H22&lt;H32),H22,H32))))</f>
        <v>0</v>
      </c>
    </row>
    <row r="35" spans="1:8" x14ac:dyDescent="0.3">
      <c r="A35" s="132" t="s">
        <v>238</v>
      </c>
      <c r="H35" s="157">
        <f>H22-H33</f>
        <v>435.23</v>
      </c>
    </row>
  </sheetData>
  <sheetProtection sheet="1" objects="1" scenarios="1"/>
  <mergeCells count="4">
    <mergeCell ref="H22:H24"/>
    <mergeCell ref="A27:B27"/>
    <mergeCell ref="A30:E30"/>
    <mergeCell ref="A20:F20"/>
  </mergeCells>
  <conditionalFormatting sqref="A1:XFD15 L16:XFD16 A16:B17 K17:XFD17 A18:XFD19 G20:XFD20 A21:XFD1048576">
    <cfRule type="containsErrors" dxfId="14" priority="1">
      <formula>ISERROR(A1)</formula>
    </cfRule>
  </conditionalFormatting>
  <pageMargins left="0.51181102362204722" right="0.51181102362204722" top="0.78740157480314965" bottom="0.78740157480314965" header="0.31496062992125984" footer="0.31496062992125984"/>
  <pageSetup paperSize="9" orientation="landscape" r:id="rId1"/>
  <headerFooter>
    <oddHeader>&amp;L&amp;8Landesrahmenvertrag Sachsen&amp;R&amp;8Bearbeitungsstand      29.09.2025</oddHeader>
    <oddFooter>&amp;L&amp;8&amp;F&amp;R&amp;8&amp;A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bitte auswählen" xr:uid="{00000000-0002-0000-0200-000000000000}">
          <x14:formula1>
            <xm:f>Landkreise!$D$4:$D$18</xm:f>
          </x14:formula1>
          <xm:sqref>H31</xm:sqref>
        </x14:dataValidation>
        <x14:dataValidation type="list" allowBlank="1" showInputMessage="1" showErrorMessage="1" prompt="bitte auswählen" xr:uid="{00000000-0002-0000-0200-000001000000}">
          <x14:formula1>
            <xm:f>Landkreise!$D$3:$D$18</xm:f>
          </x14:formula1>
          <xm:sqref>H30</xm:sqref>
        </x14:dataValidation>
        <x14:dataValidation type="list" allowBlank="1" showInputMessage="1" showErrorMessage="1" xr:uid="{00000000-0002-0000-0200-000002000000}">
          <x14:formula1>
            <xm:f>Landkreise!$A$2:$A$66</xm:f>
          </x14:formula1>
          <xm:sqref>C27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6"/>
  <sheetViews>
    <sheetView view="pageLayout" topLeftCell="A22" zoomScale="130" zoomScalePageLayoutView="130" workbookViewId="0">
      <selection sqref="A1:XFD1048576"/>
    </sheetView>
  </sheetViews>
  <sheetFormatPr baseColWidth="10" defaultRowHeight="12.5" x14ac:dyDescent="0.25"/>
  <cols>
    <col min="1" max="1" width="37.7265625" style="200" customWidth="1"/>
    <col min="2" max="2" width="19" style="201" customWidth="1"/>
    <col min="4" max="4" width="7.1796875" customWidth="1"/>
  </cols>
  <sheetData>
    <row r="1" spans="1:4" x14ac:dyDescent="0.25">
      <c r="A1"/>
    </row>
    <row r="2" spans="1:4" x14ac:dyDescent="0.25">
      <c r="A2" s="205" t="s">
        <v>239</v>
      </c>
      <c r="B2" s="202">
        <v>0</v>
      </c>
      <c r="C2">
        <v>2025</v>
      </c>
    </row>
    <row r="3" spans="1:4" ht="14.25" customHeight="1" x14ac:dyDescent="0.3">
      <c r="A3" s="364" t="s">
        <v>345</v>
      </c>
      <c r="B3" s="145">
        <v>382.55</v>
      </c>
      <c r="C3">
        <v>439.12</v>
      </c>
      <c r="D3" t="s">
        <v>239</v>
      </c>
    </row>
    <row r="4" spans="1:4" ht="14.25" customHeight="1" x14ac:dyDescent="0.3">
      <c r="A4" s="364" t="s">
        <v>346</v>
      </c>
      <c r="B4" s="145">
        <v>377.24</v>
      </c>
      <c r="C4">
        <v>439.12</v>
      </c>
      <c r="D4" t="s">
        <v>228</v>
      </c>
    </row>
    <row r="5" spans="1:4" ht="14.25" customHeight="1" x14ac:dyDescent="0.3">
      <c r="A5" s="364" t="s">
        <v>347</v>
      </c>
      <c r="B5" s="615">
        <v>390.63</v>
      </c>
      <c r="C5">
        <v>439.12</v>
      </c>
      <c r="D5" t="s">
        <v>235</v>
      </c>
    </row>
    <row r="6" spans="1:4" ht="14.25" customHeight="1" x14ac:dyDescent="0.3">
      <c r="A6" s="364" t="s">
        <v>348</v>
      </c>
      <c r="B6" s="615">
        <v>376.23</v>
      </c>
      <c r="C6">
        <v>439.12</v>
      </c>
    </row>
    <row r="7" spans="1:4" ht="14.25" customHeight="1" x14ac:dyDescent="0.3">
      <c r="A7" s="364" t="s">
        <v>349</v>
      </c>
      <c r="B7" s="615">
        <v>389.22</v>
      </c>
      <c r="C7">
        <v>439.12</v>
      </c>
    </row>
    <row r="8" spans="1:4" ht="14.25" customHeight="1" x14ac:dyDescent="0.3">
      <c r="A8" s="364" t="s">
        <v>350</v>
      </c>
      <c r="B8" s="145">
        <v>385.79</v>
      </c>
      <c r="C8">
        <v>439.12</v>
      </c>
    </row>
    <row r="9" spans="1:4" ht="14.25" customHeight="1" x14ac:dyDescent="0.3">
      <c r="A9" s="364" t="s">
        <v>351</v>
      </c>
      <c r="B9" s="145">
        <v>366.01</v>
      </c>
      <c r="C9">
        <v>439.12</v>
      </c>
    </row>
    <row r="10" spans="1:4" ht="14.25" customHeight="1" x14ac:dyDescent="0.3">
      <c r="A10" s="364" t="s">
        <v>352</v>
      </c>
      <c r="B10" s="145">
        <v>332.79</v>
      </c>
      <c r="C10">
        <v>439.12</v>
      </c>
    </row>
    <row r="11" spans="1:4" ht="14.25" customHeight="1" x14ac:dyDescent="0.3">
      <c r="A11" s="364" t="s">
        <v>353</v>
      </c>
      <c r="B11" s="615">
        <v>381.66</v>
      </c>
      <c r="C11">
        <v>439.12</v>
      </c>
    </row>
    <row r="12" spans="1:4" ht="12.75" customHeight="1" x14ac:dyDescent="0.3">
      <c r="A12" s="364" t="s">
        <v>340</v>
      </c>
      <c r="B12" s="615">
        <v>366.94</v>
      </c>
      <c r="C12">
        <v>364.65</v>
      </c>
    </row>
    <row r="13" spans="1:4" ht="12.75" customHeight="1" x14ac:dyDescent="0.3">
      <c r="A13" s="364" t="s">
        <v>341</v>
      </c>
      <c r="B13" s="145">
        <v>350.14</v>
      </c>
      <c r="C13">
        <v>364.65</v>
      </c>
    </row>
    <row r="14" spans="1:4" ht="12.5" customHeight="1" x14ac:dyDescent="0.3">
      <c r="A14" s="364" t="s">
        <v>342</v>
      </c>
      <c r="B14" s="615">
        <v>365.65</v>
      </c>
      <c r="C14">
        <v>364.65</v>
      </c>
    </row>
    <row r="15" spans="1:4" ht="12.75" customHeight="1" x14ac:dyDescent="0.3">
      <c r="A15" s="364" t="s">
        <v>343</v>
      </c>
      <c r="B15" s="145">
        <v>360.52</v>
      </c>
      <c r="C15">
        <v>364.65</v>
      </c>
    </row>
    <row r="16" spans="1:4" ht="12.75" customHeight="1" x14ac:dyDescent="0.3">
      <c r="A16" s="364" t="s">
        <v>344</v>
      </c>
      <c r="B16" s="145">
        <v>377.52</v>
      </c>
      <c r="C16">
        <v>364.65</v>
      </c>
    </row>
    <row r="17" spans="1:3" ht="12.75" customHeight="1" x14ac:dyDescent="0.3">
      <c r="A17" s="364" t="s">
        <v>368</v>
      </c>
      <c r="B17" s="145">
        <v>393.46</v>
      </c>
      <c r="C17">
        <v>372.26</v>
      </c>
    </row>
    <row r="18" spans="1:3" ht="14" x14ac:dyDescent="0.3">
      <c r="A18" s="364" t="s">
        <v>367</v>
      </c>
      <c r="B18" s="145">
        <v>364</v>
      </c>
      <c r="C18">
        <v>372.26</v>
      </c>
    </row>
    <row r="19" spans="1:3" ht="14" x14ac:dyDescent="0.3">
      <c r="A19" s="364" t="s">
        <v>369</v>
      </c>
      <c r="B19" s="145">
        <v>363.38</v>
      </c>
      <c r="C19">
        <v>372.26</v>
      </c>
    </row>
    <row r="20" spans="1:3" ht="14" x14ac:dyDescent="0.3">
      <c r="A20" s="364" t="s">
        <v>370</v>
      </c>
      <c r="B20" s="145">
        <v>399.37</v>
      </c>
      <c r="C20">
        <v>372.26</v>
      </c>
    </row>
    <row r="21" spans="1:3" ht="14" x14ac:dyDescent="0.3">
      <c r="A21" s="364" t="s">
        <v>371</v>
      </c>
      <c r="B21" s="145">
        <v>383.96</v>
      </c>
      <c r="C21">
        <v>372.26</v>
      </c>
    </row>
    <row r="22" spans="1:3" ht="14" x14ac:dyDescent="0.3">
      <c r="A22" s="364" t="s">
        <v>373</v>
      </c>
      <c r="B22" s="145">
        <v>364.15</v>
      </c>
      <c r="C22">
        <v>372.26</v>
      </c>
    </row>
    <row r="23" spans="1:3" ht="14" x14ac:dyDescent="0.3">
      <c r="A23" s="364" t="s">
        <v>372</v>
      </c>
      <c r="B23" s="145">
        <v>383.59</v>
      </c>
      <c r="C23">
        <v>372.26</v>
      </c>
    </row>
    <row r="24" spans="1:3" ht="14" x14ac:dyDescent="0.3">
      <c r="A24" s="364" t="s">
        <v>374</v>
      </c>
      <c r="B24" s="145">
        <v>377.45</v>
      </c>
      <c r="C24">
        <v>372.26</v>
      </c>
    </row>
    <row r="25" spans="1:3" ht="14" x14ac:dyDescent="0.3">
      <c r="A25" s="364" t="s">
        <v>375</v>
      </c>
      <c r="B25" s="145">
        <v>376.7</v>
      </c>
      <c r="C25">
        <v>372.26</v>
      </c>
    </row>
    <row r="26" spans="1:3" ht="14" x14ac:dyDescent="0.3">
      <c r="A26" s="364" t="s">
        <v>354</v>
      </c>
      <c r="B26" s="145">
        <v>372.29</v>
      </c>
      <c r="C26">
        <v>376.14</v>
      </c>
    </row>
    <row r="27" spans="1:3" ht="14" x14ac:dyDescent="0.3">
      <c r="A27" s="364" t="s">
        <v>355</v>
      </c>
      <c r="B27" s="145">
        <v>429.04</v>
      </c>
      <c r="C27">
        <v>376.14</v>
      </c>
    </row>
    <row r="28" spans="1:3" ht="14" x14ac:dyDescent="0.3">
      <c r="A28" s="364" t="s">
        <v>356</v>
      </c>
      <c r="B28" s="145">
        <v>408.62</v>
      </c>
      <c r="C28">
        <v>376.14</v>
      </c>
    </row>
    <row r="29" spans="1:3" ht="14" x14ac:dyDescent="0.3">
      <c r="A29" s="364" t="s">
        <v>357</v>
      </c>
      <c r="B29" s="145">
        <v>376.78</v>
      </c>
      <c r="C29">
        <v>376.14</v>
      </c>
    </row>
    <row r="30" spans="1:3" ht="14" x14ac:dyDescent="0.3">
      <c r="A30" s="364" t="s">
        <v>358</v>
      </c>
      <c r="B30" s="615">
        <v>377.22</v>
      </c>
      <c r="C30">
        <v>376.14</v>
      </c>
    </row>
    <row r="31" spans="1:3" ht="14" x14ac:dyDescent="0.3">
      <c r="A31" s="364" t="s">
        <v>359</v>
      </c>
      <c r="B31" s="145">
        <v>388.58</v>
      </c>
      <c r="C31">
        <v>376.14</v>
      </c>
    </row>
    <row r="32" spans="1:3" ht="14" x14ac:dyDescent="0.3">
      <c r="A32" s="364" t="s">
        <v>360</v>
      </c>
      <c r="B32" s="145">
        <v>389.01</v>
      </c>
      <c r="C32">
        <v>376.14</v>
      </c>
    </row>
    <row r="33" spans="1:3" ht="14" x14ac:dyDescent="0.3">
      <c r="A33" s="364" t="s">
        <v>376</v>
      </c>
      <c r="B33" s="423">
        <v>376.02</v>
      </c>
      <c r="C33">
        <v>375.98</v>
      </c>
    </row>
    <row r="34" spans="1:3" ht="28" x14ac:dyDescent="0.3">
      <c r="A34" s="364" t="s">
        <v>377</v>
      </c>
      <c r="B34" s="423">
        <v>384.33</v>
      </c>
      <c r="C34">
        <v>375.47</v>
      </c>
    </row>
    <row r="35" spans="1:3" ht="14" x14ac:dyDescent="0.3">
      <c r="A35" s="364" t="s">
        <v>378</v>
      </c>
      <c r="B35" s="423">
        <v>354.21</v>
      </c>
      <c r="C35">
        <v>336.95</v>
      </c>
    </row>
    <row r="36" spans="1:3" ht="14" x14ac:dyDescent="0.3">
      <c r="A36" s="364" t="s">
        <v>379</v>
      </c>
      <c r="B36" s="423">
        <v>416.17</v>
      </c>
      <c r="C36">
        <v>404.89</v>
      </c>
    </row>
    <row r="37" spans="1:3" ht="14" x14ac:dyDescent="0.3">
      <c r="A37" s="364" t="s">
        <v>380</v>
      </c>
      <c r="B37" s="423">
        <v>394.05</v>
      </c>
      <c r="C37">
        <v>362.97</v>
      </c>
    </row>
    <row r="38" spans="1:3" ht="28" x14ac:dyDescent="0.3">
      <c r="A38" s="364" t="s">
        <v>381</v>
      </c>
      <c r="B38" s="423">
        <v>338.19</v>
      </c>
      <c r="C38">
        <v>334.49</v>
      </c>
    </row>
    <row r="39" spans="1:3" ht="28" x14ac:dyDescent="0.3">
      <c r="A39" s="364" t="s">
        <v>382</v>
      </c>
      <c r="B39" s="423">
        <v>353.71</v>
      </c>
      <c r="C39">
        <v>355.05</v>
      </c>
    </row>
    <row r="40" spans="1:3" ht="14" x14ac:dyDescent="0.3">
      <c r="A40" s="364" t="s">
        <v>383</v>
      </c>
      <c r="B40" s="423">
        <v>344.79</v>
      </c>
      <c r="C40">
        <v>357.04</v>
      </c>
    </row>
    <row r="41" spans="1:3" ht="14" x14ac:dyDescent="0.3">
      <c r="A41" s="364" t="s">
        <v>361</v>
      </c>
      <c r="B41" s="145">
        <v>394.57</v>
      </c>
      <c r="C41">
        <v>398.6</v>
      </c>
    </row>
    <row r="42" spans="1:3" ht="14" x14ac:dyDescent="0.3">
      <c r="A42" s="364" t="s">
        <v>362</v>
      </c>
      <c r="B42" s="145">
        <v>375.84</v>
      </c>
      <c r="C42">
        <v>398.6</v>
      </c>
    </row>
    <row r="43" spans="1:3" ht="14" x14ac:dyDescent="0.3">
      <c r="A43" s="364" t="s">
        <v>363</v>
      </c>
      <c r="B43" s="145">
        <v>379</v>
      </c>
      <c r="C43">
        <v>398.6</v>
      </c>
    </row>
    <row r="44" spans="1:3" ht="28" x14ac:dyDescent="0.3">
      <c r="A44" s="364" t="s">
        <v>364</v>
      </c>
      <c r="B44" s="145">
        <v>380.89</v>
      </c>
      <c r="C44">
        <v>398.6</v>
      </c>
    </row>
    <row r="45" spans="1:3" ht="14" x14ac:dyDescent="0.3">
      <c r="A45" s="364" t="s">
        <v>365</v>
      </c>
      <c r="B45" s="145">
        <v>381.49</v>
      </c>
      <c r="C45">
        <v>398.6</v>
      </c>
    </row>
    <row r="46" spans="1:3" ht="14" x14ac:dyDescent="0.3">
      <c r="A46" s="364" t="s">
        <v>384</v>
      </c>
      <c r="B46" s="145">
        <v>407.54</v>
      </c>
      <c r="C46">
        <v>377.89</v>
      </c>
    </row>
    <row r="47" spans="1:3" ht="14" x14ac:dyDescent="0.3">
      <c r="A47" s="364" t="s">
        <v>385</v>
      </c>
      <c r="B47" s="145">
        <v>344.39</v>
      </c>
      <c r="C47">
        <v>377.89</v>
      </c>
    </row>
    <row r="48" spans="1:3" ht="14" x14ac:dyDescent="0.3">
      <c r="A48" s="364" t="s">
        <v>386</v>
      </c>
      <c r="B48" s="145">
        <v>382.24</v>
      </c>
      <c r="C48">
        <v>377.89</v>
      </c>
    </row>
    <row r="49" spans="1:3" ht="14" x14ac:dyDescent="0.3">
      <c r="A49" s="364" t="s">
        <v>388</v>
      </c>
      <c r="B49" s="145">
        <v>370.41</v>
      </c>
      <c r="C49">
        <v>377.34</v>
      </c>
    </row>
    <row r="50" spans="1:3" ht="14" x14ac:dyDescent="0.3">
      <c r="A50" s="364" t="s">
        <v>400</v>
      </c>
      <c r="B50" s="145">
        <v>385.71</v>
      </c>
      <c r="C50">
        <v>377.34</v>
      </c>
    </row>
    <row r="51" spans="1:3" ht="14" x14ac:dyDescent="0.3">
      <c r="A51" s="364" t="s">
        <v>387</v>
      </c>
      <c r="B51" s="145">
        <v>348.72</v>
      </c>
      <c r="C51">
        <v>377.34</v>
      </c>
    </row>
    <row r="52" spans="1:3" ht="14" x14ac:dyDescent="0.3">
      <c r="A52" s="364" t="s">
        <v>389</v>
      </c>
      <c r="B52" s="145">
        <v>363.06</v>
      </c>
      <c r="C52">
        <v>377.34</v>
      </c>
    </row>
    <row r="53" spans="1:3" ht="14" x14ac:dyDescent="0.3">
      <c r="A53" s="364" t="s">
        <v>390</v>
      </c>
      <c r="B53" s="145">
        <v>361.6</v>
      </c>
      <c r="C53">
        <v>377.34</v>
      </c>
    </row>
    <row r="54" spans="1:3" ht="14" x14ac:dyDescent="0.3">
      <c r="A54" s="364" t="s">
        <v>391</v>
      </c>
      <c r="B54" s="145">
        <v>299.55</v>
      </c>
      <c r="C54">
        <v>377.34</v>
      </c>
    </row>
    <row r="55" spans="1:3" ht="14" x14ac:dyDescent="0.3">
      <c r="A55" s="364" t="s">
        <v>392</v>
      </c>
      <c r="B55" s="145">
        <v>308.79000000000002</v>
      </c>
      <c r="C55">
        <v>325.25</v>
      </c>
    </row>
    <row r="56" spans="1:3" ht="14" x14ac:dyDescent="0.3">
      <c r="A56" s="364" t="s">
        <v>393</v>
      </c>
      <c r="B56" s="145">
        <v>307.95</v>
      </c>
      <c r="C56">
        <v>325.25</v>
      </c>
    </row>
    <row r="57" spans="1:3" ht="14" x14ac:dyDescent="0.3">
      <c r="A57" s="364" t="s">
        <v>394</v>
      </c>
      <c r="B57" s="145">
        <v>316.01</v>
      </c>
      <c r="C57">
        <v>325.25</v>
      </c>
    </row>
    <row r="58" spans="1:3" ht="14" x14ac:dyDescent="0.3">
      <c r="A58" s="364" t="s">
        <v>399</v>
      </c>
      <c r="B58" s="145">
        <v>320.95</v>
      </c>
      <c r="C58">
        <v>325.25</v>
      </c>
    </row>
    <row r="59" spans="1:3" ht="14" x14ac:dyDescent="0.3">
      <c r="A59" s="364" t="s">
        <v>366</v>
      </c>
      <c r="B59" s="145">
        <v>362.51</v>
      </c>
      <c r="C59">
        <v>353.73</v>
      </c>
    </row>
    <row r="60" spans="1:3" ht="14" x14ac:dyDescent="0.3">
      <c r="A60" s="364" t="s">
        <v>395</v>
      </c>
      <c r="B60" s="145">
        <v>350.49</v>
      </c>
      <c r="C60">
        <v>350.14</v>
      </c>
    </row>
    <row r="61" spans="1:3" ht="14" x14ac:dyDescent="0.3">
      <c r="A61" s="364" t="s">
        <v>396</v>
      </c>
      <c r="B61" s="145">
        <v>352.48</v>
      </c>
      <c r="C61">
        <v>346.42</v>
      </c>
    </row>
    <row r="62" spans="1:3" ht="14" x14ac:dyDescent="0.3">
      <c r="A62" s="364" t="s">
        <v>397</v>
      </c>
      <c r="B62" s="145">
        <v>357.85</v>
      </c>
      <c r="C62">
        <v>361.76</v>
      </c>
    </row>
    <row r="63" spans="1:3" ht="14" x14ac:dyDescent="0.3">
      <c r="A63" s="364" t="s">
        <v>398</v>
      </c>
      <c r="B63" s="145">
        <v>366.83</v>
      </c>
      <c r="C63">
        <v>365.8</v>
      </c>
    </row>
    <row r="64" spans="1:3" ht="14" x14ac:dyDescent="0.3">
      <c r="A64" s="364" t="s">
        <v>229</v>
      </c>
      <c r="B64" s="145">
        <v>381.08</v>
      </c>
      <c r="C64">
        <v>359.14</v>
      </c>
    </row>
    <row r="65" spans="1:3" ht="14" x14ac:dyDescent="0.3">
      <c r="A65" s="364" t="s">
        <v>230</v>
      </c>
      <c r="B65" s="145">
        <v>408.27</v>
      </c>
      <c r="C65">
        <v>394.03</v>
      </c>
    </row>
    <row r="66" spans="1:3" ht="14" x14ac:dyDescent="0.3">
      <c r="A66" s="364" t="s">
        <v>231</v>
      </c>
      <c r="B66" s="145">
        <v>446.91</v>
      </c>
      <c r="C66">
        <v>452.09</v>
      </c>
    </row>
  </sheetData>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I39"/>
  <sheetViews>
    <sheetView showGridLines="0" showWhiteSpace="0" view="pageLayout" zoomScaleNormal="100" workbookViewId="0">
      <selection activeCell="A17" sqref="A17"/>
    </sheetView>
  </sheetViews>
  <sheetFormatPr baseColWidth="10" defaultColWidth="11.453125" defaultRowHeight="14" x14ac:dyDescent="0.3"/>
  <cols>
    <col min="1" max="1" width="38.453125" style="81" customWidth="1"/>
    <col min="2" max="2" width="15" style="81" customWidth="1"/>
    <col min="3" max="3" width="14.7265625" style="74" customWidth="1"/>
    <col min="4" max="4" width="14.54296875" style="74" customWidth="1"/>
    <col min="5" max="5" width="15.26953125" style="74" customWidth="1"/>
    <col min="6" max="6" width="2.453125" style="74" customWidth="1"/>
    <col min="7" max="7" width="16.54296875" style="74" customWidth="1"/>
    <col min="8" max="8" width="11.453125" style="74"/>
    <col min="9" max="9" width="15.54296875" style="74" customWidth="1"/>
    <col min="10" max="16384" width="11.453125" style="74"/>
  </cols>
  <sheetData>
    <row r="1" spans="1:7" ht="14.5" thickBot="1" x14ac:dyDescent="0.35"/>
    <row r="2" spans="1:7" ht="32.25" customHeight="1" thickBot="1" x14ac:dyDescent="0.35">
      <c r="A2" s="560" t="s">
        <v>78</v>
      </c>
      <c r="B2" s="561"/>
      <c r="C2" s="561"/>
      <c r="D2" s="561"/>
      <c r="E2" s="562"/>
    </row>
    <row r="3" spans="1:7" ht="32.25" hidden="1" customHeight="1" thickBot="1" x14ac:dyDescent="0.35">
      <c r="A3" s="72" t="s">
        <v>79</v>
      </c>
      <c r="B3" s="192">
        <f>IF('Vereinbarung 2026'!U9="reale Auslastung und keine KSV Anpassung", 'Vereinbarung 2026'!K10,100%)</f>
        <v>1</v>
      </c>
      <c r="C3" s="219"/>
      <c r="D3" s="77" t="s">
        <v>8</v>
      </c>
      <c r="E3" s="97">
        <f>C4*B3*365</f>
        <v>9125</v>
      </c>
    </row>
    <row r="4" spans="1:7" ht="32.25" customHeight="1" thickBot="1" x14ac:dyDescent="0.35">
      <c r="A4" s="74"/>
      <c r="B4" s="220" t="s">
        <v>250</v>
      </c>
      <c r="C4" s="221">
        <f>'Vereinbarung 2026'!B13</f>
        <v>25</v>
      </c>
      <c r="D4" s="222"/>
      <c r="E4" s="223"/>
    </row>
    <row r="5" spans="1:7" s="71" customFormat="1" ht="18" customHeight="1" thickBot="1" x14ac:dyDescent="0.3">
      <c r="B5" s="553" t="s">
        <v>405</v>
      </c>
      <c r="C5" s="554"/>
      <c r="D5" s="554"/>
      <c r="E5" s="555"/>
    </row>
    <row r="6" spans="1:7" s="71" customFormat="1" ht="55.5" customHeight="1" thickBot="1" x14ac:dyDescent="0.3">
      <c r="A6" s="104" t="s">
        <v>80</v>
      </c>
      <c r="B6" s="105" t="s">
        <v>172</v>
      </c>
      <c r="C6" s="193" t="s">
        <v>221</v>
      </c>
      <c r="D6" s="105" t="s">
        <v>165</v>
      </c>
      <c r="E6" s="104" t="s">
        <v>157</v>
      </c>
    </row>
    <row r="7" spans="1:7" s="71" customFormat="1" ht="30" customHeight="1" x14ac:dyDescent="0.25">
      <c r="A7" s="96" t="s">
        <v>83</v>
      </c>
      <c r="B7" s="103">
        <f>'Vereinbarung 2026'!K47</f>
        <v>0.14000000000000001</v>
      </c>
      <c r="C7" s="103">
        <f>B7*$E$3</f>
        <v>1277.5</v>
      </c>
      <c r="D7" s="103">
        <f>C7-E7</f>
        <v>273.75</v>
      </c>
      <c r="E7" s="103">
        <f>'Vereinbarung 2026'!Q47*Wohnraumüberlassungskosten!E3</f>
        <v>1003.75</v>
      </c>
    </row>
    <row r="8" spans="1:7" s="71" customFormat="1" ht="30" customHeight="1" x14ac:dyDescent="0.25">
      <c r="A8" s="83" t="s">
        <v>84</v>
      </c>
      <c r="B8" s="103">
        <f>'Vereinbarung 2026'!K48</f>
        <v>0.67</v>
      </c>
      <c r="C8" s="84">
        <f t="shared" ref="C8:C13" si="0">B8*$E$3</f>
        <v>6113.75</v>
      </c>
      <c r="D8" s="103">
        <f>C8*'Vereinbarung 2026'!$S$10</f>
        <v>1354.81</v>
      </c>
      <c r="E8" s="103">
        <f>'Vereinbarung 2026'!Q48*Wohnraumüberlassungskosten!E3</f>
        <v>4836.25</v>
      </c>
    </row>
    <row r="9" spans="1:7" s="71" customFormat="1" ht="30" customHeight="1" x14ac:dyDescent="0.25">
      <c r="A9" s="83" t="s">
        <v>85</v>
      </c>
      <c r="B9" s="103">
        <f>'Vereinbarung 2026'!K49</f>
        <v>2.0299999999999998</v>
      </c>
      <c r="C9" s="84">
        <f>B9*$E$3</f>
        <v>18523.75</v>
      </c>
      <c r="D9" s="103">
        <f>C9*'Vereinbarung 2026'!$S$10</f>
        <v>4104.8599999999997</v>
      </c>
      <c r="E9" s="103">
        <f>'Vereinbarung 2026'!Q49*Wohnraumüberlassungskosten!E3</f>
        <v>14508.75</v>
      </c>
    </row>
    <row r="10" spans="1:7" s="71" customFormat="1" ht="30" customHeight="1" x14ac:dyDescent="0.25">
      <c r="A10" s="83" t="s">
        <v>87</v>
      </c>
      <c r="B10" s="103">
        <f>'Vereinbarung 2026'!K50</f>
        <v>0</v>
      </c>
      <c r="C10" s="84">
        <f t="shared" si="0"/>
        <v>0</v>
      </c>
      <c r="D10" s="103">
        <f>C10*'Vereinbarung 2026'!$S$10</f>
        <v>0</v>
      </c>
      <c r="E10" s="103">
        <f>'Vereinbarung 2026'!Q50*Wohnraumüberlassungskosten!E3</f>
        <v>0</v>
      </c>
      <c r="G10" s="77"/>
    </row>
    <row r="11" spans="1:7" s="71" customFormat="1" ht="30" customHeight="1" x14ac:dyDescent="0.25">
      <c r="A11" s="83" t="s">
        <v>88</v>
      </c>
      <c r="B11" s="103">
        <f>'Vereinbarung 2026'!K51</f>
        <v>0.61</v>
      </c>
      <c r="C11" s="84">
        <f>B11*$E$3</f>
        <v>5566.25</v>
      </c>
      <c r="D11" s="103">
        <f>C11*'Vereinbarung 2026'!$S$10</f>
        <v>1233.48</v>
      </c>
      <c r="E11" s="103">
        <f>'Vereinbarung 2026'!Q51*Wohnraumüberlassungskosten!E3</f>
        <v>4380</v>
      </c>
    </row>
    <row r="12" spans="1:7" s="71" customFormat="1" ht="30" customHeight="1" x14ac:dyDescent="0.25">
      <c r="A12" s="83" t="s">
        <v>89</v>
      </c>
      <c r="B12" s="103">
        <f>'Vereinbarung 2026'!K52</f>
        <v>0.36</v>
      </c>
      <c r="C12" s="84">
        <f t="shared" si="0"/>
        <v>3285</v>
      </c>
      <c r="D12" s="103">
        <f>C12*'Vereinbarung 2026'!$S$10</f>
        <v>727.96</v>
      </c>
      <c r="E12" s="103">
        <f>'Vereinbarung 2026'!Q52*Wohnraumüberlassungskosten!E3</f>
        <v>2646.25</v>
      </c>
    </row>
    <row r="13" spans="1:7" s="71" customFormat="1" ht="30" customHeight="1" thickBot="1" x14ac:dyDescent="0.3">
      <c r="A13" s="98" t="s">
        <v>90</v>
      </c>
      <c r="B13" s="103">
        <f>'Vereinbarung 2026'!K53</f>
        <v>1.21</v>
      </c>
      <c r="C13" s="99">
        <f t="shared" si="0"/>
        <v>11041.25</v>
      </c>
      <c r="D13" s="103">
        <f>C13*'Vereinbarung 2026'!$S$10</f>
        <v>2446.7399999999998</v>
      </c>
      <c r="E13" s="103">
        <f>'Vereinbarung 2026'!Q53*Wohnraumüberlassungskosten!E3</f>
        <v>8668.75</v>
      </c>
    </row>
    <row r="14" spans="1:7" s="71" customFormat="1" ht="30" customHeight="1" thickBot="1" x14ac:dyDescent="0.3">
      <c r="A14" s="100" t="s">
        <v>158</v>
      </c>
      <c r="B14" s="101">
        <f>SUM(B7:B13)</f>
        <v>5.0199999999999996</v>
      </c>
      <c r="C14" s="101">
        <f>SUM(C7:C13)</f>
        <v>45807.5</v>
      </c>
      <c r="D14" s="101">
        <f t="shared" ref="D14:E14" si="1">SUM(D7:D13)</f>
        <v>10141.6</v>
      </c>
      <c r="E14" s="102">
        <f t="shared" si="1"/>
        <v>36043.75</v>
      </c>
    </row>
    <row r="15" spans="1:7" s="71" customFormat="1" ht="12" customHeight="1" thickBot="1" x14ac:dyDescent="0.3">
      <c r="A15" s="72"/>
      <c r="B15" s="79"/>
      <c r="C15" s="79"/>
      <c r="D15" s="79"/>
      <c r="E15" s="79"/>
      <c r="F15" s="79"/>
    </row>
    <row r="16" spans="1:7" s="71" customFormat="1" ht="42" customHeight="1" thickBot="1" x14ac:dyDescent="0.3">
      <c r="A16" s="105" t="s">
        <v>156</v>
      </c>
      <c r="B16" s="105" t="s">
        <v>82</v>
      </c>
      <c r="C16" s="104" t="s">
        <v>81</v>
      </c>
      <c r="D16" s="104" t="s">
        <v>81</v>
      </c>
      <c r="E16" s="104" t="s">
        <v>81</v>
      </c>
      <c r="F16" s="85"/>
    </row>
    <row r="17" spans="1:9" s="71" customFormat="1" ht="30" customHeight="1" thickBot="1" x14ac:dyDescent="0.35">
      <c r="A17" s="106" t="s">
        <v>160</v>
      </c>
      <c r="B17" s="103">
        <f>'Vereinbarung 2026'!Q18</f>
        <v>1.56</v>
      </c>
      <c r="C17" s="103">
        <f t="shared" ref="C17:C23" si="2">B17*$E$3</f>
        <v>14235</v>
      </c>
      <c r="D17" s="103"/>
      <c r="E17" s="103">
        <f>C17</f>
        <v>14235</v>
      </c>
      <c r="F17" s="86"/>
      <c r="G17" s="79"/>
    </row>
    <row r="18" spans="1:9" s="71" customFormat="1" ht="30" customHeight="1" thickTop="1" thickBot="1" x14ac:dyDescent="0.35">
      <c r="A18" s="143" t="s">
        <v>201</v>
      </c>
      <c r="B18" s="103">
        <f>'Vereinbarung 2026'!Q40</f>
        <v>0.18</v>
      </c>
      <c r="C18" s="84">
        <f t="shared" si="2"/>
        <v>1642.5</v>
      </c>
      <c r="D18" s="84"/>
      <c r="E18" s="84">
        <f>C18</f>
        <v>1642.5</v>
      </c>
      <c r="F18" s="86"/>
      <c r="G18" s="79"/>
    </row>
    <row r="19" spans="1:9" s="71" customFormat="1" ht="30" customHeight="1" thickTop="1" thickBot="1" x14ac:dyDescent="0.25">
      <c r="A19" s="83" t="s">
        <v>86</v>
      </c>
      <c r="B19" s="84">
        <f>'Vereinbarung 2026'!K54</f>
        <v>0</v>
      </c>
      <c r="C19" s="84">
        <f t="shared" si="2"/>
        <v>0</v>
      </c>
      <c r="D19" s="84">
        <f>C19*'Vereinbarung 2026'!S10</f>
        <v>0</v>
      </c>
      <c r="E19" s="84">
        <f>C19-D19</f>
        <v>0</v>
      </c>
      <c r="F19" s="87"/>
      <c r="G19" s="97"/>
    </row>
    <row r="20" spans="1:9" s="71" customFormat="1" ht="30" customHeight="1" thickTop="1" thickBot="1" x14ac:dyDescent="0.25">
      <c r="A20" s="83" t="s">
        <v>202</v>
      </c>
      <c r="B20" s="84">
        <f>'Vereinbarung 2026'!K55</f>
        <v>0</v>
      </c>
      <c r="C20" s="84">
        <f t="shared" si="2"/>
        <v>0</v>
      </c>
      <c r="D20" s="84"/>
      <c r="E20" s="84">
        <f>C20</f>
        <v>0</v>
      </c>
      <c r="F20" s="87"/>
      <c r="G20" s="78"/>
      <c r="I20" s="79"/>
    </row>
    <row r="21" spans="1:9" s="71" customFormat="1" ht="30" customHeight="1" thickTop="1" thickBot="1" x14ac:dyDescent="0.25">
      <c r="A21" s="83" t="s">
        <v>203</v>
      </c>
      <c r="B21" s="84">
        <f>'Vereinbarung 2026'!Q19/4</f>
        <v>0.84</v>
      </c>
      <c r="C21" s="84">
        <f t="shared" si="2"/>
        <v>7665</v>
      </c>
      <c r="D21" s="84"/>
      <c r="E21" s="84">
        <f>C21</f>
        <v>7665</v>
      </c>
      <c r="F21" s="87"/>
      <c r="G21" s="79"/>
      <c r="I21" s="78"/>
    </row>
    <row r="22" spans="1:9" s="71" customFormat="1" ht="30" customHeight="1" thickTop="1" thickBot="1" x14ac:dyDescent="0.25">
      <c r="A22" s="83"/>
      <c r="B22" s="84"/>
      <c r="C22" s="84">
        <f t="shared" si="2"/>
        <v>0</v>
      </c>
      <c r="D22" s="84">
        <f>C22*$B$3*365*$C$4</f>
        <v>0</v>
      </c>
      <c r="E22" s="84">
        <f>D22*$B$3*365*$C$4</f>
        <v>0</v>
      </c>
      <c r="F22" s="87"/>
      <c r="G22" s="79"/>
    </row>
    <row r="23" spans="1:9" s="71" customFormat="1" ht="30" customHeight="1" thickTop="1" thickBot="1" x14ac:dyDescent="0.25">
      <c r="A23" s="98"/>
      <c r="B23" s="99"/>
      <c r="C23" s="99">
        <f t="shared" si="2"/>
        <v>0</v>
      </c>
      <c r="D23" s="99">
        <f>C23*$B$3*365*$C$4</f>
        <v>0</v>
      </c>
      <c r="E23" s="99">
        <f>D23*$B$3*365*$C$4</f>
        <v>0</v>
      </c>
      <c r="F23" s="87"/>
      <c r="G23" s="79"/>
    </row>
    <row r="24" spans="1:9" s="71" customFormat="1" ht="30" customHeight="1" thickTop="1" thickBot="1" x14ac:dyDescent="0.3">
      <c r="A24" s="105" t="s">
        <v>158</v>
      </c>
      <c r="B24" s="101">
        <f>SUM(B17:B23)</f>
        <v>2.58</v>
      </c>
      <c r="C24" s="216">
        <f>SUM(C17:C23)</f>
        <v>23543</v>
      </c>
      <c r="D24" s="216">
        <f>SUM(D17:D23)</f>
        <v>0</v>
      </c>
      <c r="E24" s="216">
        <f>SUM(E17:E23)</f>
        <v>23543</v>
      </c>
      <c r="F24" s="79"/>
      <c r="G24" s="79"/>
    </row>
    <row r="25" spans="1:9" s="71" customFormat="1" ht="5.25" customHeight="1" thickBot="1" x14ac:dyDescent="0.3">
      <c r="A25" s="72"/>
      <c r="B25" s="72"/>
    </row>
    <row r="26" spans="1:9" s="71" customFormat="1" ht="20.25" customHeight="1" thickBot="1" x14ac:dyDescent="0.3">
      <c r="A26" s="107" t="s">
        <v>159</v>
      </c>
      <c r="B26" s="101">
        <f>B24+B14</f>
        <v>7.6</v>
      </c>
      <c r="C26" s="217">
        <f>C24+C14</f>
        <v>69351</v>
      </c>
      <c r="D26" s="217">
        <f>D24+D14</f>
        <v>10142</v>
      </c>
      <c r="E26" s="217">
        <f>E24+E14</f>
        <v>59587</v>
      </c>
    </row>
    <row r="27" spans="1:9" s="71" customFormat="1" ht="9.75" customHeight="1" thickBot="1" x14ac:dyDescent="0.3">
      <c r="A27" s="80"/>
      <c r="C27" s="80"/>
    </row>
    <row r="28" spans="1:9" s="71" customFormat="1" ht="30" customHeight="1" x14ac:dyDescent="0.25">
      <c r="A28" s="83" t="s">
        <v>175</v>
      </c>
      <c r="B28" s="88">
        <f>Stammblatt!D52*('Vereinbarung 2026'!B13/Stammblatt!D34)</f>
        <v>669.95</v>
      </c>
      <c r="C28" s="108">
        <f>'Vereinbarung 2026'!S9</f>
        <v>0.77839999999999998</v>
      </c>
      <c r="D28" s="556">
        <f xml:space="preserve"> (E26/12/B28)</f>
        <v>7.41</v>
      </c>
      <c r="E28" s="557"/>
      <c r="G28" s="119"/>
    </row>
    <row r="29" spans="1:9" s="71" customFormat="1" ht="30" customHeight="1" thickBot="1" x14ac:dyDescent="0.3">
      <c r="A29" s="83" t="s">
        <v>176</v>
      </c>
      <c r="B29" s="88">
        <f>Stammblatt!G43*('Vereinbarung 2026'!B13/Stammblatt!D34)</f>
        <v>190.73</v>
      </c>
      <c r="C29" s="108">
        <f>'Vereinbarung 2026'!S10</f>
        <v>0.22159999999999999</v>
      </c>
      <c r="D29" s="558"/>
      <c r="E29" s="559"/>
    </row>
    <row r="30" spans="1:9" ht="15" customHeight="1" x14ac:dyDescent="0.3">
      <c r="A30" s="564"/>
      <c r="B30" s="564"/>
      <c r="C30" s="564"/>
      <c r="D30" s="564"/>
      <c r="E30" s="399"/>
    </row>
    <row r="31" spans="1:9" ht="15.75" customHeight="1" x14ac:dyDescent="0.3">
      <c r="A31" s="563" t="s">
        <v>171</v>
      </c>
      <c r="B31" s="563"/>
      <c r="C31" s="563"/>
      <c r="D31" s="166" t="s">
        <v>170</v>
      </c>
      <c r="E31" s="165" t="s">
        <v>210</v>
      </c>
    </row>
    <row r="32" spans="1:9" x14ac:dyDescent="0.3">
      <c r="A32" s="563"/>
      <c r="B32" s="563"/>
      <c r="C32" s="563"/>
      <c r="F32" s="82"/>
    </row>
    <row r="33" spans="2:5" x14ac:dyDescent="0.3">
      <c r="C33" s="17" t="s">
        <v>166</v>
      </c>
      <c r="D33" s="167">
        <f>Wohnraumüberlassungskosten!D28</f>
        <v>7.41</v>
      </c>
      <c r="E33" s="163">
        <f>D33*B28/'Vereinbarung 2026'!B13</f>
        <v>198.57</v>
      </c>
    </row>
    <row r="34" spans="2:5" x14ac:dyDescent="0.3">
      <c r="B34" s="168" t="s">
        <v>211</v>
      </c>
      <c r="C34" s="17" t="s">
        <v>212</v>
      </c>
      <c r="D34" s="167">
        <f>Wohnraumüberlassungskosten!E8/12/Wohnraumüberlassungskosten!B28-D36</f>
        <v>0.54</v>
      </c>
      <c r="E34" s="163">
        <f>D34*B28/'Vereinbarung 2026'!B13</f>
        <v>14.47</v>
      </c>
    </row>
    <row r="35" spans="2:5" x14ac:dyDescent="0.3">
      <c r="C35" s="17" t="s">
        <v>213</v>
      </c>
      <c r="D35" s="167">
        <f>Wohnraumüberlassungskosten!E9/12/Wohnraumüberlassungskosten!B28</f>
        <v>1.8</v>
      </c>
      <c r="E35" s="163">
        <f>D35*B28/'Vereinbarung 2026'!B13</f>
        <v>48.24</v>
      </c>
    </row>
    <row r="36" spans="2:5" x14ac:dyDescent="0.3">
      <c r="C36" s="17" t="s">
        <v>214</v>
      </c>
      <c r="D36" s="167">
        <f>Wohnraumüberlassungskosten!E8/12/Wohnraumüberlassungskosten!B28*0.1</f>
        <v>0.06</v>
      </c>
      <c r="E36" s="163">
        <f>D36*B28/'Vereinbarung 2026'!B13</f>
        <v>1.61</v>
      </c>
    </row>
    <row r="38" spans="2:5" x14ac:dyDescent="0.3">
      <c r="B38" s="124"/>
    </row>
    <row r="39" spans="2:5" x14ac:dyDescent="0.3">
      <c r="B39" s="124"/>
      <c r="C39" s="125"/>
    </row>
  </sheetData>
  <sheetProtection sheet="1" objects="1" scenarios="1"/>
  <mergeCells count="5">
    <mergeCell ref="B5:E5"/>
    <mergeCell ref="D28:E29"/>
    <mergeCell ref="A2:E2"/>
    <mergeCell ref="A31:C32"/>
    <mergeCell ref="A30:D30"/>
  </mergeCells>
  <conditionalFormatting sqref="A27">
    <cfRule type="containsText" dxfId="13" priority="3" operator="containsText" text="nein">
      <formula>NOT(ISERROR(SEARCH("nein",A27)))</formula>
    </cfRule>
    <cfRule type="containsText" dxfId="12" priority="4" operator="containsText" text="nein">
      <formula>NOT(ISERROR(SEARCH("nein",A27)))</formula>
    </cfRule>
    <cfRule type="containsText" dxfId="11" priority="5" operator="containsText" text="ja">
      <formula>NOT(ISERROR(SEARCH("ja",A27)))</formula>
    </cfRule>
  </conditionalFormatting>
  <conditionalFormatting sqref="A1:XFD3 B4:C4 F4:XFD4 B5:XFD5 A6:XFD29 F30:XFD30 A31:XFD1048576">
    <cfRule type="containsErrors" dxfId="10" priority="1">
      <formula>ISERROR(A1)</formula>
    </cfRule>
    <cfRule type="containsErrors" dxfId="9" priority="2">
      <formula>ISERROR(A1)</formula>
    </cfRule>
  </conditionalFormatting>
  <pageMargins left="0.59055118110236227" right="0.55118110236220474" top="0.59055118110236227" bottom="0.39370078740157483" header="0.51181102362204722" footer="0.51181102362204722"/>
  <pageSetup paperSize="9" scale="85" orientation="portrait" r:id="rId1"/>
  <headerFooter alignWithMargins="0">
    <oddHeader>&amp;L&amp;8Landesrahmenvertrag Sachsen
&amp;R&amp;8Bearbeitungsstand     11.11.2024</oddHeader>
    <oddFooter>&amp;L&amp;8&amp;F&amp;R&amp;8&amp;A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J38"/>
  <sheetViews>
    <sheetView showGridLines="0" showWhiteSpace="0" view="pageLayout" zoomScaleNormal="100" workbookViewId="0">
      <selection activeCell="E4" sqref="E4:E9"/>
    </sheetView>
  </sheetViews>
  <sheetFormatPr baseColWidth="10" defaultColWidth="11.453125" defaultRowHeight="14" x14ac:dyDescent="0.3"/>
  <cols>
    <col min="1" max="1" width="13.7265625" style="81" customWidth="1"/>
    <col min="2" max="2" width="22.26953125" style="81" customWidth="1"/>
    <col min="3" max="3" width="83.1796875" style="74" customWidth="1"/>
    <col min="4" max="4" width="19.1796875" style="74" customWidth="1"/>
    <col min="5" max="5" width="16.7265625" style="74" customWidth="1"/>
    <col min="6" max="6" width="20.7265625" style="74" customWidth="1"/>
    <col min="7" max="8" width="13.7265625" style="74" customWidth="1"/>
    <col min="9" max="9" width="11" style="74" customWidth="1"/>
    <col min="10" max="10" width="14.7265625" style="74" customWidth="1"/>
    <col min="11" max="16384" width="11.453125" style="74"/>
  </cols>
  <sheetData>
    <row r="1" spans="1:10" ht="32.25" customHeight="1" thickBot="1" x14ac:dyDescent="0.35">
      <c r="A1" s="560" t="s">
        <v>91</v>
      </c>
      <c r="B1" s="561"/>
      <c r="C1" s="561"/>
      <c r="D1" s="561"/>
      <c r="E1" s="561"/>
      <c r="F1" s="225" t="s">
        <v>9</v>
      </c>
      <c r="G1" s="226">
        <f>'Vereinbarung 2026'!B13</f>
        <v>25</v>
      </c>
      <c r="H1" s="224"/>
    </row>
    <row r="2" spans="1:10" ht="14.25" hidden="1" customHeight="1" thickBot="1" x14ac:dyDescent="0.35">
      <c r="C2" s="72" t="s">
        <v>79</v>
      </c>
      <c r="D2" s="194">
        <f>Wohnraumüberlassungskosten!B3</f>
        <v>1</v>
      </c>
      <c r="E2" s="73"/>
      <c r="F2" s="77" t="s">
        <v>8</v>
      </c>
      <c r="G2" s="77"/>
      <c r="H2" s="94">
        <f>G1*D2*365</f>
        <v>9125</v>
      </c>
    </row>
    <row r="3" spans="1:10" ht="75" customHeight="1" thickBot="1" x14ac:dyDescent="0.35">
      <c r="A3" s="107" t="s">
        <v>92</v>
      </c>
      <c r="B3" s="110" t="s">
        <v>93</v>
      </c>
      <c r="C3" s="104" t="s">
        <v>94</v>
      </c>
      <c r="D3" s="105" t="s">
        <v>222</v>
      </c>
      <c r="E3" s="105" t="s">
        <v>95</v>
      </c>
      <c r="F3" s="105" t="s">
        <v>223</v>
      </c>
      <c r="G3" s="553" t="s">
        <v>224</v>
      </c>
      <c r="H3" s="555"/>
    </row>
    <row r="4" spans="1:10" s="71" customFormat="1" ht="41.25" customHeight="1" thickBot="1" x14ac:dyDescent="0.3">
      <c r="A4" s="112" t="s">
        <v>96</v>
      </c>
      <c r="B4" s="111" t="s">
        <v>97</v>
      </c>
      <c r="C4" s="109" t="s">
        <v>98</v>
      </c>
      <c r="D4" s="575" t="s">
        <v>99</v>
      </c>
      <c r="E4" s="577">
        <f>'Vereinbarung 2026'!K41</f>
        <v>1.18</v>
      </c>
      <c r="F4" s="579">
        <f>'Vereinbarung 2026'!S9</f>
        <v>0.78</v>
      </c>
      <c r="G4" s="120">
        <f>H4/6</f>
        <v>1399.78</v>
      </c>
      <c r="H4" s="568">
        <f>E4*F4*$H$2</f>
        <v>8398.65</v>
      </c>
    </row>
    <row r="5" spans="1:10" s="71" customFormat="1" ht="107.25" customHeight="1" thickBot="1" x14ac:dyDescent="0.3">
      <c r="A5" s="112" t="s">
        <v>120</v>
      </c>
      <c r="B5" s="113" t="s">
        <v>121</v>
      </c>
      <c r="C5" s="89" t="s">
        <v>122</v>
      </c>
      <c r="D5" s="576"/>
      <c r="E5" s="578"/>
      <c r="F5" s="580"/>
      <c r="G5" s="121">
        <f>G4</f>
        <v>1399.78</v>
      </c>
      <c r="H5" s="566"/>
    </row>
    <row r="6" spans="1:10" s="71" customFormat="1" ht="33" customHeight="1" thickBot="1" x14ac:dyDescent="0.3">
      <c r="A6" s="112" t="s">
        <v>155</v>
      </c>
      <c r="B6" s="113" t="s">
        <v>128</v>
      </c>
      <c r="C6" s="89" t="s">
        <v>129</v>
      </c>
      <c r="D6" s="576"/>
      <c r="E6" s="578"/>
      <c r="F6" s="580"/>
      <c r="G6" s="121">
        <f t="shared" ref="G6:G9" si="0">G5</f>
        <v>1399.78</v>
      </c>
      <c r="H6" s="566"/>
      <c r="J6" s="78"/>
    </row>
    <row r="7" spans="1:10" s="71" customFormat="1" ht="34.5" customHeight="1" thickBot="1" x14ac:dyDescent="0.3">
      <c r="A7" s="112" t="s">
        <v>135</v>
      </c>
      <c r="B7" s="113" t="s">
        <v>136</v>
      </c>
      <c r="C7" s="89" t="s">
        <v>137</v>
      </c>
      <c r="D7" s="576"/>
      <c r="E7" s="578"/>
      <c r="F7" s="580"/>
      <c r="G7" s="121">
        <f t="shared" si="0"/>
        <v>1399.78</v>
      </c>
      <c r="H7" s="566"/>
      <c r="J7" s="78"/>
    </row>
    <row r="8" spans="1:10" s="71" customFormat="1" ht="60.75" customHeight="1" thickBot="1" x14ac:dyDescent="0.3">
      <c r="A8" s="112" t="s">
        <v>138</v>
      </c>
      <c r="B8" s="113" t="s">
        <v>139</v>
      </c>
      <c r="C8" s="89" t="s">
        <v>140</v>
      </c>
      <c r="D8" s="576"/>
      <c r="E8" s="578"/>
      <c r="F8" s="580"/>
      <c r="G8" s="121">
        <f t="shared" si="0"/>
        <v>1399.78</v>
      </c>
      <c r="H8" s="566"/>
    </row>
    <row r="9" spans="1:10" s="71" customFormat="1" ht="30.75" customHeight="1" thickBot="1" x14ac:dyDescent="0.3">
      <c r="A9" s="112" t="s">
        <v>151</v>
      </c>
      <c r="B9" s="113" t="s">
        <v>152</v>
      </c>
      <c r="C9" s="89" t="s">
        <v>153</v>
      </c>
      <c r="D9" s="576"/>
      <c r="E9" s="578"/>
      <c r="F9" s="580"/>
      <c r="G9" s="121">
        <f t="shared" si="0"/>
        <v>1399.78</v>
      </c>
      <c r="H9" s="566"/>
    </row>
    <row r="10" spans="1:10" s="71" customFormat="1" ht="102" customHeight="1" thickBot="1" x14ac:dyDescent="0.3">
      <c r="A10" s="112" t="s">
        <v>100</v>
      </c>
      <c r="B10" s="114" t="s">
        <v>101</v>
      </c>
      <c r="C10" s="90" t="s">
        <v>102</v>
      </c>
      <c r="D10" s="576" t="s">
        <v>103</v>
      </c>
      <c r="E10" s="578">
        <f>'Vereinbarung 2026'!K32</f>
        <v>1.1200000000000001</v>
      </c>
      <c r="F10" s="580">
        <f>'Vereinbarung 2026'!S9</f>
        <v>0.78</v>
      </c>
      <c r="G10" s="121">
        <f>H10/2</f>
        <v>3985.8</v>
      </c>
      <c r="H10" s="566">
        <f>E10*F10*$H$2</f>
        <v>7971.6</v>
      </c>
    </row>
    <row r="11" spans="1:10" s="71" customFormat="1" ht="47.25" customHeight="1" thickBot="1" x14ac:dyDescent="0.3">
      <c r="A11" s="112" t="s">
        <v>105</v>
      </c>
      <c r="B11" s="113" t="s">
        <v>106</v>
      </c>
      <c r="C11" s="89" t="s">
        <v>107</v>
      </c>
      <c r="D11" s="576"/>
      <c r="E11" s="578"/>
      <c r="F11" s="580"/>
      <c r="G11" s="121">
        <f>G10</f>
        <v>3985.8</v>
      </c>
      <c r="H11" s="566"/>
    </row>
    <row r="12" spans="1:10" s="71" customFormat="1" ht="105" customHeight="1" thickBot="1" x14ac:dyDescent="0.3">
      <c r="A12" s="112" t="s">
        <v>100</v>
      </c>
      <c r="B12" s="114" t="s">
        <v>101</v>
      </c>
      <c r="C12" s="90" t="s">
        <v>102</v>
      </c>
      <c r="D12" s="576" t="s">
        <v>104</v>
      </c>
      <c r="E12" s="578">
        <f>'Vereinbarung 2026'!K49</f>
        <v>2.0299999999999998</v>
      </c>
      <c r="F12" s="580">
        <f>'Vereinbarung 2026'!S9</f>
        <v>0.78</v>
      </c>
      <c r="G12" s="121">
        <f>H12/4</f>
        <v>0</v>
      </c>
      <c r="H12" s="566"/>
    </row>
    <row r="13" spans="1:10" s="71" customFormat="1" ht="41.25" customHeight="1" thickBot="1" x14ac:dyDescent="0.3">
      <c r="A13" s="112" t="s">
        <v>111</v>
      </c>
      <c r="B13" s="113" t="s">
        <v>112</v>
      </c>
      <c r="C13" s="89" t="s">
        <v>113</v>
      </c>
      <c r="D13" s="576"/>
      <c r="E13" s="578"/>
      <c r="F13" s="580"/>
      <c r="G13" s="121">
        <f>G12</f>
        <v>0</v>
      </c>
      <c r="H13" s="566"/>
    </row>
    <row r="14" spans="1:10" s="71" customFormat="1" ht="41.25" customHeight="1" thickBot="1" x14ac:dyDescent="0.3">
      <c r="A14" s="112" t="s">
        <v>114</v>
      </c>
      <c r="B14" s="380" t="s">
        <v>115</v>
      </c>
      <c r="C14" s="89" t="s">
        <v>116</v>
      </c>
      <c r="D14" s="576"/>
      <c r="E14" s="578"/>
      <c r="F14" s="580"/>
      <c r="G14" s="121">
        <f>G13</f>
        <v>0</v>
      </c>
      <c r="H14" s="566"/>
    </row>
    <row r="15" spans="1:10" s="71" customFormat="1" ht="41.25" customHeight="1" thickBot="1" x14ac:dyDescent="0.3">
      <c r="A15" s="112" t="s">
        <v>117</v>
      </c>
      <c r="B15" s="113" t="s">
        <v>118</v>
      </c>
      <c r="C15" s="89" t="s">
        <v>119</v>
      </c>
      <c r="D15" s="576"/>
      <c r="E15" s="578"/>
      <c r="F15" s="580"/>
      <c r="G15" s="121">
        <f>G14</f>
        <v>0</v>
      </c>
      <c r="H15" s="566"/>
    </row>
    <row r="16" spans="1:10" s="71" customFormat="1" ht="148.5" customHeight="1" thickBot="1" x14ac:dyDescent="0.3">
      <c r="A16" s="112" t="s">
        <v>108</v>
      </c>
      <c r="B16" s="113" t="s">
        <v>109</v>
      </c>
      <c r="C16" s="89" t="s">
        <v>110</v>
      </c>
      <c r="D16" s="151" t="s">
        <v>199</v>
      </c>
      <c r="E16" s="126">
        <f>'Vereinbarung 2026'!K30</f>
        <v>1.89</v>
      </c>
      <c r="F16" s="123">
        <f>'Vereinbarung 2026'!S9</f>
        <v>0.78</v>
      </c>
      <c r="G16" s="122">
        <f>H16/1</f>
        <v>13452.08</v>
      </c>
      <c r="H16" s="118">
        <f>E16*F16*$H$2</f>
        <v>13452.08</v>
      </c>
    </row>
    <row r="17" spans="1:9" s="71" customFormat="1" ht="61.5" customHeight="1" thickBot="1" x14ac:dyDescent="0.3">
      <c r="A17" s="112" t="s">
        <v>133</v>
      </c>
      <c r="B17" s="113" t="s">
        <v>134</v>
      </c>
      <c r="C17" s="89" t="s">
        <v>173</v>
      </c>
      <c r="D17" s="151" t="s">
        <v>200</v>
      </c>
      <c r="E17" s="126">
        <f>'Vereinbarung 2026'!K31</f>
        <v>1.32</v>
      </c>
      <c r="F17" s="123">
        <f>'Vereinbarung 2026'!S9</f>
        <v>0.78</v>
      </c>
      <c r="G17" s="122">
        <f>H17/1</f>
        <v>9395.1</v>
      </c>
      <c r="H17" s="118">
        <f>E17*F17*$H$2</f>
        <v>9395.1</v>
      </c>
    </row>
    <row r="18" spans="1:9" s="71" customFormat="1" ht="59.25" customHeight="1" thickBot="1" x14ac:dyDescent="0.3">
      <c r="A18" s="112" t="s">
        <v>123</v>
      </c>
      <c r="B18" s="114" t="s">
        <v>124</v>
      </c>
      <c r="C18" s="90" t="s">
        <v>125</v>
      </c>
      <c r="D18" s="583" t="s">
        <v>127</v>
      </c>
      <c r="E18" s="584">
        <f>'Vereinbarung 2026'!K35</f>
        <v>0.33</v>
      </c>
      <c r="F18" s="585">
        <f>'Vereinbarung 2026'!S9</f>
        <v>0.78</v>
      </c>
      <c r="G18" s="121">
        <f>H18/2</f>
        <v>1174.3900000000001</v>
      </c>
      <c r="H18" s="567">
        <f>E18*F18*$H$2</f>
        <v>2348.7800000000002</v>
      </c>
    </row>
    <row r="19" spans="1:9" s="71" customFormat="1" ht="58.5" customHeight="1" thickBot="1" x14ac:dyDescent="0.3">
      <c r="A19" s="112" t="s">
        <v>130</v>
      </c>
      <c r="B19" s="114" t="s">
        <v>131</v>
      </c>
      <c r="C19" s="90" t="s">
        <v>132</v>
      </c>
      <c r="D19" s="575"/>
      <c r="E19" s="577"/>
      <c r="F19" s="579"/>
      <c r="G19" s="121">
        <f>G18</f>
        <v>1174.3900000000001</v>
      </c>
      <c r="H19" s="568"/>
    </row>
    <row r="20" spans="1:9" s="71" customFormat="1" ht="87.75" customHeight="1" thickBot="1" x14ac:dyDescent="0.3">
      <c r="A20" s="112" t="s">
        <v>141</v>
      </c>
      <c r="B20" s="114" t="s">
        <v>142</v>
      </c>
      <c r="C20" s="90" t="s">
        <v>143</v>
      </c>
      <c r="D20" s="152" t="s">
        <v>195</v>
      </c>
      <c r="E20" s="126">
        <f>'Vereinbarung 2026'!K23</f>
        <v>0.42</v>
      </c>
      <c r="F20" s="123">
        <f>'Vereinbarung 2026'!P23</f>
        <v>0.25</v>
      </c>
      <c r="G20" s="121">
        <f>H20</f>
        <v>958.13</v>
      </c>
      <c r="H20" s="75">
        <f>E20*F20*$H$2</f>
        <v>958.13</v>
      </c>
      <c r="I20" s="78"/>
    </row>
    <row r="21" spans="1:9" s="71" customFormat="1" ht="64.5" customHeight="1" thickBot="1" x14ac:dyDescent="0.3">
      <c r="A21" s="112" t="s">
        <v>123</v>
      </c>
      <c r="B21" s="114" t="s">
        <v>124</v>
      </c>
      <c r="C21" s="90" t="s">
        <v>125</v>
      </c>
      <c r="D21" s="576" t="s">
        <v>126</v>
      </c>
      <c r="E21" s="578">
        <f>'Vereinbarung 2026'!Q19/4*3</f>
        <v>2.5299999999999998</v>
      </c>
      <c r="F21" s="580"/>
      <c r="G21" s="121">
        <f>H21/3</f>
        <v>7695.42</v>
      </c>
      <c r="H21" s="566">
        <f>E21*H2</f>
        <v>23086.25</v>
      </c>
    </row>
    <row r="22" spans="1:9" s="71" customFormat="1" ht="75" customHeight="1" thickBot="1" x14ac:dyDescent="0.3">
      <c r="A22" s="112" t="s">
        <v>130</v>
      </c>
      <c r="B22" s="114" t="s">
        <v>131</v>
      </c>
      <c r="C22" s="90" t="s">
        <v>132</v>
      </c>
      <c r="D22" s="576"/>
      <c r="E22" s="578"/>
      <c r="F22" s="580"/>
      <c r="G22" s="121">
        <f>G21</f>
        <v>7695.42</v>
      </c>
      <c r="H22" s="566"/>
    </row>
    <row r="23" spans="1:9" s="71" customFormat="1" ht="104.25" customHeight="1" thickBot="1" x14ac:dyDescent="0.3">
      <c r="A23" s="112" t="s">
        <v>141</v>
      </c>
      <c r="B23" s="114" t="s">
        <v>188</v>
      </c>
      <c r="C23" s="90" t="s">
        <v>143</v>
      </c>
      <c r="D23" s="576"/>
      <c r="E23" s="578"/>
      <c r="F23" s="580"/>
      <c r="G23" s="121">
        <f>G22</f>
        <v>7695.42</v>
      </c>
      <c r="H23" s="566"/>
    </row>
    <row r="24" spans="1:9" s="71" customFormat="1" ht="74.25" customHeight="1" thickBot="1" x14ac:dyDescent="0.3">
      <c r="A24" s="112" t="s">
        <v>144</v>
      </c>
      <c r="B24" s="113" t="s">
        <v>145</v>
      </c>
      <c r="C24" s="89" t="s">
        <v>146</v>
      </c>
      <c r="D24" s="89" t="s">
        <v>164</v>
      </c>
      <c r="E24" s="126">
        <f>'Vereinbarung 2026'!K39</f>
        <v>1.07</v>
      </c>
      <c r="F24" s="123">
        <f>'Vereinbarung 2026'!P39</f>
        <v>0.2</v>
      </c>
      <c r="G24" s="121">
        <f>H24</f>
        <v>1952.75</v>
      </c>
      <c r="H24" s="75">
        <f>E24*F24*$H$2</f>
        <v>1952.75</v>
      </c>
    </row>
    <row r="25" spans="1:9" s="71" customFormat="1" ht="76.5" customHeight="1" thickBot="1" x14ac:dyDescent="0.3">
      <c r="A25" s="112" t="s">
        <v>147</v>
      </c>
      <c r="B25" s="113" t="s">
        <v>148</v>
      </c>
      <c r="C25" s="89" t="s">
        <v>149</v>
      </c>
      <c r="D25" s="89" t="s">
        <v>150</v>
      </c>
      <c r="E25" s="126">
        <f>'Vereinbarung 2026'!K34</f>
        <v>1.1499999999999999</v>
      </c>
      <c r="F25" s="123">
        <f>'Vereinbarung 2026'!P34</f>
        <v>0.33</v>
      </c>
      <c r="G25" s="121">
        <f>H25</f>
        <v>3462.94</v>
      </c>
      <c r="H25" s="75">
        <f>E25*F25*$H$2</f>
        <v>3462.94</v>
      </c>
    </row>
    <row r="26" spans="1:9" s="71" customFormat="1" ht="12.75" customHeight="1" thickBot="1" x14ac:dyDescent="0.3">
      <c r="A26" s="115" t="s">
        <v>154</v>
      </c>
      <c r="D26" s="91"/>
      <c r="E26" s="92">
        <f>SUM(E4:E25)</f>
        <v>13.04</v>
      </c>
      <c r="F26" s="117"/>
      <c r="G26" s="117"/>
      <c r="H26" s="218">
        <f>SUM(H4:H25)</f>
        <v>71026</v>
      </c>
    </row>
    <row r="27" spans="1:9" s="71" customFormat="1" ht="14.25" customHeight="1" thickBot="1" x14ac:dyDescent="0.3">
      <c r="A27" s="116">
        <f>Wohnraumüberlassungskosten!C28</f>
        <v>0.77839999999999998</v>
      </c>
      <c r="B27" s="95">
        <f>Wohnraumüberlassungskosten!B28</f>
        <v>669.95</v>
      </c>
      <c r="C27" s="72" t="str">
        <f>Wohnraumüberlassungskosten!A28</f>
        <v>Wohnfläche m² anteilig für den Leistungstyp</v>
      </c>
      <c r="D27" s="581" t="s">
        <v>216</v>
      </c>
      <c r="E27" s="569">
        <f>(H26/12/B27)</f>
        <v>8.83</v>
      </c>
      <c r="F27" s="570"/>
      <c r="G27" s="570"/>
      <c r="H27" s="571"/>
    </row>
    <row r="28" spans="1:9" s="71" customFormat="1" ht="14.25" customHeight="1" thickTop="1" thickBot="1" x14ac:dyDescent="0.3">
      <c r="A28" s="116">
        <f>Wohnraumüberlassungskosten!C29</f>
        <v>0.22159999999999999</v>
      </c>
      <c r="B28" s="93">
        <f>Wohnraumüberlassungskosten!B29</f>
        <v>190.73</v>
      </c>
      <c r="C28" s="72" t="str">
        <f>Wohnraumüberlassungskosten!A29</f>
        <v>Fachleistungfläche m² anteilig für den Leistungstyp</v>
      </c>
      <c r="D28" s="582"/>
      <c r="E28" s="572"/>
      <c r="F28" s="573"/>
      <c r="G28" s="573"/>
      <c r="H28" s="574"/>
    </row>
    <row r="29" spans="1:9" s="71" customFormat="1" ht="14.25" customHeight="1" thickTop="1" x14ac:dyDescent="0.2">
      <c r="A29" s="397"/>
      <c r="B29" s="398"/>
      <c r="C29" s="565"/>
      <c r="D29" s="565"/>
      <c r="E29" s="565"/>
      <c r="F29" s="565"/>
      <c r="G29" s="565"/>
      <c r="H29" s="565"/>
    </row>
    <row r="30" spans="1:9" s="71" customFormat="1" ht="14.25" customHeight="1" x14ac:dyDescent="0.25">
      <c r="D30" s="169" t="s">
        <v>217</v>
      </c>
      <c r="F30" s="160">
        <f>E27*B27/'Vereinbarung 2026'!B13</f>
        <v>236.63</v>
      </c>
      <c r="G30" s="161" t="s">
        <v>209</v>
      </c>
    </row>
    <row r="31" spans="1:9" s="71" customFormat="1" ht="14.25" customHeight="1" x14ac:dyDescent="0.25">
      <c r="A31" s="72"/>
      <c r="B31" s="72"/>
      <c r="C31" s="381" t="s">
        <v>215</v>
      </c>
      <c r="D31" s="17" t="s">
        <v>167</v>
      </c>
      <c r="E31" s="159">
        <f>('Vereinbarung 2026'!K30)*'Vereinbarung 2026'!K11/12/Wohnraumüberlassungskosten!B28</f>
        <v>2.04</v>
      </c>
      <c r="F31" s="160">
        <f>E31*B27/'Vereinbarung 2026'!B13</f>
        <v>54.67</v>
      </c>
      <c r="G31" s="161" t="s">
        <v>209</v>
      </c>
      <c r="H31" s="161"/>
    </row>
    <row r="32" spans="1:9" s="71" customFormat="1" ht="14.25" customHeight="1" x14ac:dyDescent="0.25">
      <c r="A32" s="72"/>
      <c r="B32" s="72"/>
      <c r="D32" s="17" t="s">
        <v>168</v>
      </c>
      <c r="E32" s="162">
        <f>H17/12/B27</f>
        <v>1.17</v>
      </c>
      <c r="F32" s="160">
        <f>E32*B27/'Vereinbarung 2026'!B13</f>
        <v>31.35</v>
      </c>
      <c r="G32" s="161" t="s">
        <v>209</v>
      </c>
      <c r="H32" s="161"/>
    </row>
    <row r="33" spans="4:8" ht="14.25" customHeight="1" x14ac:dyDescent="0.3">
      <c r="D33" s="17" t="s">
        <v>169</v>
      </c>
      <c r="E33" s="159">
        <f>Nebenkosten!H24/12/Nebenkosten!B27</f>
        <v>0.24</v>
      </c>
      <c r="F33" s="163">
        <f>E33*B27/'Vereinbarung 2026'!B13</f>
        <v>6.43</v>
      </c>
      <c r="G33" s="161" t="s">
        <v>209</v>
      </c>
      <c r="H33" s="164"/>
    </row>
    <row r="34" spans="4:8" ht="14.25" customHeight="1" x14ac:dyDescent="0.3"/>
    <row r="35" spans="4:8" ht="14.25" customHeight="1" x14ac:dyDescent="0.3"/>
    <row r="36" spans="4:8" x14ac:dyDescent="0.3">
      <c r="F36" s="82"/>
    </row>
    <row r="38" spans="4:8" x14ac:dyDescent="0.3">
      <c r="F38" s="82"/>
    </row>
  </sheetData>
  <sheetProtection sheet="1" objects="1" scenarios="1"/>
  <mergeCells count="25">
    <mergeCell ref="D27:D28"/>
    <mergeCell ref="D21:D23"/>
    <mergeCell ref="E21:E23"/>
    <mergeCell ref="F21:F23"/>
    <mergeCell ref="H10:H11"/>
    <mergeCell ref="D18:D19"/>
    <mergeCell ref="E18:E19"/>
    <mergeCell ref="F18:F19"/>
    <mergeCell ref="H21:H23"/>
    <mergeCell ref="C29:H29"/>
    <mergeCell ref="A1:E1"/>
    <mergeCell ref="H12:H15"/>
    <mergeCell ref="H18:H19"/>
    <mergeCell ref="G3:H3"/>
    <mergeCell ref="E27:H28"/>
    <mergeCell ref="D4:D9"/>
    <mergeCell ref="E4:E9"/>
    <mergeCell ref="F4:F9"/>
    <mergeCell ref="D12:D15"/>
    <mergeCell ref="E12:E15"/>
    <mergeCell ref="F12:F15"/>
    <mergeCell ref="H4:H9"/>
    <mergeCell ref="D10:D11"/>
    <mergeCell ref="E10:E11"/>
    <mergeCell ref="F10:F11"/>
  </mergeCells>
  <conditionalFormatting sqref="A1 F1:XFD1 C2:XFD2 A3:XFD28 A29:B29 I29:XFD29 A30:XFD1048576">
    <cfRule type="containsErrors" priority="3">
      <formula>ISERROR(A1)</formula>
    </cfRule>
  </conditionalFormatting>
  <conditionalFormatting sqref="A1 F1:XFD1 C2:XFD2 A3:XFD28 I29:XFD29 A30:XFD1048576">
    <cfRule type="containsErrors" dxfId="8" priority="4">
      <formula>ISERROR(A1)</formula>
    </cfRule>
  </conditionalFormatting>
  <conditionalFormatting sqref="A29:C29">
    <cfRule type="containsErrors" dxfId="7" priority="2">
      <formula>ISERROR(A29)</formula>
    </cfRule>
  </conditionalFormatting>
  <conditionalFormatting sqref="C29">
    <cfRule type="containsErrors" dxfId="6" priority="1">
      <formula>ISERROR(C29)</formula>
    </cfRule>
  </conditionalFormatting>
  <pageMargins left="0.59055118110236227" right="0.55118110236220474" top="0.59055118110236227" bottom="0.39370078740157483" header="0.51181102362204722" footer="0.51181102362204722"/>
  <pageSetup paperSize="9" scale="45" orientation="portrait" r:id="rId1"/>
  <headerFooter alignWithMargins="0">
    <oddHeader>&amp;L&amp;8Landesrahmenvertrag Sachsen
&amp;R&amp;8Bearbeitungsstand      29.09.2023</oddHeader>
    <oddFooter xml:space="preserve">&amp;L&amp;8&amp;F&amp;R&amp;8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M27"/>
  <sheetViews>
    <sheetView showGridLines="0" view="pageLayout" zoomScaleNormal="100" workbookViewId="0">
      <selection activeCell="F19" sqref="F19"/>
    </sheetView>
  </sheetViews>
  <sheetFormatPr baseColWidth="10" defaultColWidth="11.453125" defaultRowHeight="14" x14ac:dyDescent="0.3"/>
  <cols>
    <col min="1" max="2" width="13.453125" style="74" customWidth="1"/>
    <col min="3" max="3" width="2" style="74" customWidth="1"/>
    <col min="4" max="4" width="16.81640625" style="74" customWidth="1"/>
    <col min="5" max="5" width="13.453125" style="74" customWidth="1"/>
    <col min="6" max="6" width="41" style="74" customWidth="1"/>
    <col min="7" max="7" width="7.453125" style="74" customWidth="1"/>
    <col min="8" max="8" width="15" style="74" customWidth="1"/>
    <col min="9" max="9" width="55.1796875" style="74" customWidth="1"/>
    <col min="10" max="16384" width="11.453125" style="74"/>
  </cols>
  <sheetData>
    <row r="2" spans="1:13" ht="32.25" customHeight="1" x14ac:dyDescent="0.3">
      <c r="A2" s="589" t="s">
        <v>161</v>
      </c>
      <c r="B2" s="590"/>
      <c r="C2" s="590"/>
      <c r="D2" s="590"/>
      <c r="E2" s="590"/>
      <c r="F2" s="590"/>
      <c r="G2" s="590"/>
      <c r="H2" s="590"/>
      <c r="I2" s="591"/>
      <c r="J2" s="132"/>
      <c r="K2" s="132"/>
    </row>
    <row r="3" spans="1:13" ht="32.25" customHeight="1" x14ac:dyDescent="0.3">
      <c r="D3" s="132"/>
      <c r="E3" s="133" t="s">
        <v>162</v>
      </c>
      <c r="F3" s="134">
        <v>30.42</v>
      </c>
      <c r="G3" s="132"/>
      <c r="H3" s="132"/>
      <c r="I3" s="132"/>
      <c r="J3" s="132"/>
      <c r="K3" s="132"/>
    </row>
    <row r="4" spans="1:13" ht="32.25" customHeight="1" x14ac:dyDescent="0.3"/>
    <row r="5" spans="1:13" ht="32.25" customHeight="1" thickBot="1" x14ac:dyDescent="0.35">
      <c r="A5" s="132"/>
      <c r="B5" s="132"/>
      <c r="C5" s="132"/>
      <c r="L5" s="135"/>
      <c r="M5" s="135"/>
    </row>
    <row r="6" spans="1:13" s="71" customFormat="1" ht="27.75" customHeight="1" thickBot="1" x14ac:dyDescent="0.35">
      <c r="A6" s="601" t="s">
        <v>407</v>
      </c>
      <c r="B6" s="602"/>
      <c r="C6" s="136"/>
      <c r="D6" s="553" t="s">
        <v>406</v>
      </c>
      <c r="E6" s="554"/>
      <c r="F6" s="555"/>
      <c r="H6" s="600"/>
      <c r="I6" s="600"/>
      <c r="L6" s="132"/>
      <c r="M6" s="132"/>
    </row>
    <row r="7" spans="1:13" s="71" customFormat="1" ht="62.25" customHeight="1" thickBot="1" x14ac:dyDescent="0.35">
      <c r="A7" s="170" t="s">
        <v>241</v>
      </c>
      <c r="B7" s="170" t="s">
        <v>240</v>
      </c>
      <c r="C7" s="137"/>
      <c r="D7" s="105" t="s">
        <v>189</v>
      </c>
      <c r="E7" s="105" t="s">
        <v>163</v>
      </c>
      <c r="F7" s="104" t="s">
        <v>80</v>
      </c>
      <c r="G7" s="410"/>
      <c r="H7" s="411"/>
      <c r="I7" s="115"/>
      <c r="L7" s="132"/>
      <c r="M7" s="132"/>
    </row>
    <row r="8" spans="1:13" s="71" customFormat="1" ht="14.25" customHeight="1" x14ac:dyDescent="0.3">
      <c r="A8" s="132"/>
      <c r="B8" s="132"/>
      <c r="C8" s="132"/>
      <c r="H8" s="412"/>
      <c r="I8" s="74"/>
      <c r="L8" s="137"/>
      <c r="M8" s="137"/>
    </row>
    <row r="9" spans="1:13" s="71" customFormat="1" ht="17.149999999999999" customHeight="1" x14ac:dyDescent="0.3">
      <c r="A9" s="594">
        <v>506</v>
      </c>
      <c r="B9" s="597">
        <f>A9*12/365</f>
        <v>16.64</v>
      </c>
      <c r="C9" s="138"/>
      <c r="D9" s="139">
        <f>'Vereinbarung 2026'!S29</f>
        <v>7.53</v>
      </c>
      <c r="E9" s="139">
        <f>D9*$F$3</f>
        <v>229.06</v>
      </c>
      <c r="F9" s="131" t="s">
        <v>23</v>
      </c>
      <c r="H9" s="412"/>
      <c r="I9" s="74"/>
      <c r="L9" s="132"/>
      <c r="M9" s="132"/>
    </row>
    <row r="10" spans="1:13" s="71" customFormat="1" ht="28.5" customHeight="1" x14ac:dyDescent="0.3">
      <c r="A10" s="595"/>
      <c r="B10" s="598"/>
      <c r="C10" s="138"/>
      <c r="D10" s="592" t="s">
        <v>185</v>
      </c>
      <c r="E10" s="592"/>
      <c r="F10" s="593"/>
      <c r="G10" s="208"/>
      <c r="L10" s="140"/>
      <c r="M10" s="140"/>
    </row>
    <row r="11" spans="1:13" s="71" customFormat="1" ht="17.149999999999999" customHeight="1" x14ac:dyDescent="0.3">
      <c r="A11" s="595"/>
      <c r="B11" s="598"/>
      <c r="C11" s="138"/>
      <c r="D11" s="139">
        <f>'Vereinbarung 2026'!S33</f>
        <v>0.02</v>
      </c>
      <c r="E11" s="139">
        <f>D11*$F$3</f>
        <v>0.61</v>
      </c>
      <c r="F11" s="83" t="s">
        <v>25</v>
      </c>
      <c r="L11" s="140"/>
      <c r="M11" s="140"/>
    </row>
    <row r="12" spans="1:13" s="71" customFormat="1" ht="17.149999999999999" customHeight="1" x14ac:dyDescent="0.3">
      <c r="A12" s="595"/>
      <c r="B12" s="598"/>
      <c r="C12" s="138"/>
      <c r="D12" s="139">
        <f>'Vereinbarung 2026'!S37</f>
        <v>0.18</v>
      </c>
      <c r="E12" s="139">
        <f>D12*$F$3</f>
        <v>5.48</v>
      </c>
      <c r="F12" s="83" t="s">
        <v>30</v>
      </c>
      <c r="L12" s="140"/>
      <c r="M12" s="140"/>
    </row>
    <row r="13" spans="1:13" s="71" customFormat="1" ht="33" customHeight="1" x14ac:dyDescent="0.3">
      <c r="A13" s="595"/>
      <c r="B13" s="598"/>
      <c r="C13" s="138"/>
      <c r="D13" s="139">
        <f>'Vereinbarung 2026'!S38</f>
        <v>0</v>
      </c>
      <c r="E13" s="141">
        <f>D13*$F$3</f>
        <v>0</v>
      </c>
      <c r="F13" s="83" t="s">
        <v>31</v>
      </c>
      <c r="L13" s="140"/>
      <c r="M13" s="140"/>
    </row>
    <row r="14" spans="1:13" ht="17.149999999999999" customHeight="1" x14ac:dyDescent="0.3">
      <c r="A14" s="595"/>
      <c r="B14" s="598"/>
      <c r="C14" s="138"/>
      <c r="D14" s="139">
        <f>'Vereinbarung 2026'!S34</f>
        <v>0.4</v>
      </c>
      <c r="E14" s="139">
        <f>D14*$F$3</f>
        <v>12.17</v>
      </c>
      <c r="F14" s="83" t="s">
        <v>26</v>
      </c>
      <c r="L14" s="140"/>
      <c r="M14" s="140"/>
    </row>
    <row r="15" spans="1:13" ht="17.149999999999999" customHeight="1" x14ac:dyDescent="0.3">
      <c r="A15" s="596"/>
      <c r="B15" s="599"/>
      <c r="C15" s="138"/>
      <c r="D15" s="139"/>
      <c r="E15" s="139">
        <f>D15*$F$3</f>
        <v>0</v>
      </c>
      <c r="F15" s="83" t="s">
        <v>29</v>
      </c>
      <c r="L15" s="140"/>
      <c r="M15" s="140"/>
    </row>
    <row r="16" spans="1:13" ht="17.149999999999999" customHeight="1" x14ac:dyDescent="0.3">
      <c r="A16" s="132"/>
      <c r="B16" s="132"/>
      <c r="C16" s="132"/>
      <c r="L16" s="140"/>
      <c r="M16" s="140"/>
    </row>
    <row r="17" spans="1:13" ht="17.149999999999999" customHeight="1" x14ac:dyDescent="0.3">
      <c r="D17" s="158">
        <f>SUM(D9:D15)</f>
        <v>8.1300000000000008</v>
      </c>
      <c r="E17" s="214">
        <f>SUM(E9:E15)</f>
        <v>247.32</v>
      </c>
      <c r="F17" s="215" t="s">
        <v>208</v>
      </c>
      <c r="L17" s="132"/>
      <c r="M17" s="132"/>
    </row>
    <row r="18" spans="1:13" ht="17.149999999999999" customHeight="1" thickBot="1" x14ac:dyDescent="0.35">
      <c r="A18" s="132"/>
      <c r="B18" s="132"/>
      <c r="C18" s="132"/>
      <c r="L18" s="132"/>
      <c r="M18" s="132"/>
    </row>
    <row r="19" spans="1:13" ht="36.75" customHeight="1" thickBot="1" x14ac:dyDescent="0.35">
      <c r="A19" s="586" t="s">
        <v>242</v>
      </c>
      <c r="B19" s="587"/>
      <c r="C19" s="587"/>
      <c r="D19" s="588"/>
      <c r="E19" s="101">
        <f>A9-E17</f>
        <v>258.68</v>
      </c>
      <c r="F19" s="209" t="s">
        <v>408</v>
      </c>
      <c r="H19" s="413"/>
      <c r="I19" s="414"/>
      <c r="L19" s="132"/>
      <c r="M19" s="132"/>
    </row>
    <row r="20" spans="1:13" ht="17.149999999999999" customHeight="1" x14ac:dyDescent="0.3">
      <c r="A20" s="206"/>
      <c r="B20" s="157"/>
      <c r="C20" s="140"/>
      <c r="G20" s="207"/>
      <c r="H20" s="207"/>
      <c r="L20" s="142"/>
      <c r="M20" s="140"/>
    </row>
    <row r="21" spans="1:13" ht="17.149999999999999" customHeight="1" x14ac:dyDescent="0.3"/>
    <row r="24" spans="1:13" x14ac:dyDescent="0.3">
      <c r="D24" s="138"/>
      <c r="F24" s="74" t="s">
        <v>184</v>
      </c>
    </row>
    <row r="27" spans="1:13" x14ac:dyDescent="0.3">
      <c r="D27" s="82"/>
    </row>
  </sheetData>
  <sheetProtection sheet="1" objects="1" scenarios="1"/>
  <mergeCells count="8">
    <mergeCell ref="A19:D19"/>
    <mergeCell ref="A2:I2"/>
    <mergeCell ref="D10:F10"/>
    <mergeCell ref="A9:A15"/>
    <mergeCell ref="B9:B15"/>
    <mergeCell ref="H6:I6"/>
    <mergeCell ref="A6:B6"/>
    <mergeCell ref="D6:F6"/>
  </mergeCells>
  <conditionalFormatting sqref="A1:XFD10 A11:G11 J11:XFD11 A12:XFD1048576">
    <cfRule type="containsErrors" dxfId="5" priority="1">
      <formula>ISERROR(A1)</formula>
    </cfRule>
  </conditionalFormatting>
  <pageMargins left="0.59055118110236227" right="0.55118110236220474" top="0.59055118110236227" bottom="0.39370078740157483" header="0.51181102362204722" footer="0.51181102362204722"/>
  <pageSetup paperSize="9" scale="60" orientation="landscape" r:id="rId1"/>
  <headerFooter alignWithMargins="0">
    <oddHeader>&amp;L&amp;8Landesrahmenvertrag Sachsen
&amp;R&amp;8 11.11.2024</oddHeader>
    <oddFooter>&amp;L&amp;8&amp;F&amp;R&amp;8&amp;A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F93F-C2B3-49D7-9108-2622DC1AB4BA}">
  <sheetPr>
    <tabColor theme="3" tint="0.39997558519241921"/>
  </sheetPr>
  <dimension ref="A1:P56"/>
  <sheetViews>
    <sheetView showGridLines="0" topLeftCell="A30" workbookViewId="0">
      <selection activeCell="E14" sqref="E14"/>
    </sheetView>
  </sheetViews>
  <sheetFormatPr baseColWidth="10" defaultRowHeight="12.5" x14ac:dyDescent="0.25"/>
  <cols>
    <col min="1" max="1" width="45.1796875" customWidth="1"/>
    <col min="3" max="3" width="28.26953125" customWidth="1"/>
    <col min="5" max="5" width="44" customWidth="1"/>
    <col min="6" max="6" width="11.453125" customWidth="1"/>
    <col min="9" max="9" width="13.54296875" customWidth="1"/>
    <col min="10" max="10" width="37.26953125" customWidth="1"/>
  </cols>
  <sheetData>
    <row r="1" spans="1:16" ht="12.75" customHeight="1" x14ac:dyDescent="0.25">
      <c r="I1" s="607" t="s">
        <v>315</v>
      </c>
      <c r="J1" s="608"/>
      <c r="K1" s="608"/>
      <c r="L1" s="608"/>
      <c r="M1" s="608"/>
      <c r="N1" s="608"/>
      <c r="O1" s="608"/>
      <c r="P1" s="609"/>
    </row>
    <row r="2" spans="1:16" ht="23.25" customHeight="1" x14ac:dyDescent="0.3">
      <c r="A2" s="604" t="s">
        <v>287</v>
      </c>
      <c r="B2" s="604"/>
      <c r="C2" s="604"/>
      <c r="E2" s="8" t="s">
        <v>288</v>
      </c>
      <c r="I2" s="610"/>
      <c r="J2" s="611"/>
      <c r="K2" s="611"/>
      <c r="L2" s="611"/>
      <c r="M2" s="611"/>
      <c r="N2" s="611"/>
      <c r="O2" s="611"/>
      <c r="P2" s="612"/>
    </row>
    <row r="3" spans="1:16" x14ac:dyDescent="0.25">
      <c r="A3" t="s">
        <v>311</v>
      </c>
      <c r="B3" s="385">
        <f>'Vereinbarung 2026'!K10</f>
        <v>0.95</v>
      </c>
      <c r="I3" s="386"/>
      <c r="J3" s="387" t="str">
        <f>A3</f>
        <v>Auslastung</v>
      </c>
      <c r="K3" s="388">
        <f>Wohnraumüberlassungskosten!B3</f>
        <v>1</v>
      </c>
      <c r="L3" s="387" t="str">
        <f>IF(K3=100%, "Berechnung auf Basis vollständiger Auslastung","")</f>
        <v>Berechnung auf Basis vollständiger Auslastung</v>
      </c>
      <c r="M3" s="387"/>
      <c r="N3" s="387"/>
      <c r="O3" s="387"/>
      <c r="P3" s="389"/>
    </row>
    <row r="4" spans="1:16" x14ac:dyDescent="0.25">
      <c r="I4" s="386"/>
      <c r="J4" s="387"/>
      <c r="K4" s="387"/>
      <c r="L4" s="387"/>
      <c r="M4" s="387"/>
      <c r="N4" s="387"/>
      <c r="O4" s="387"/>
      <c r="P4" s="389"/>
    </row>
    <row r="5" spans="1:16" x14ac:dyDescent="0.25">
      <c r="A5" t="str">
        <f>'Budgetabgleich 2026'!C27</f>
        <v>bitte auswählen</v>
      </c>
      <c r="B5" s="201">
        <f>'Budgetabgleich 2026'!H28</f>
        <v>0</v>
      </c>
      <c r="C5" t="s">
        <v>286</v>
      </c>
      <c r="E5" t="s">
        <v>412</v>
      </c>
      <c r="I5" s="386"/>
      <c r="J5" s="387" t="str">
        <f>A5</f>
        <v>bitte auswählen</v>
      </c>
      <c r="K5" s="390">
        <f>B5</f>
        <v>0</v>
      </c>
      <c r="L5" s="387" t="s">
        <v>286</v>
      </c>
      <c r="M5" s="387"/>
      <c r="N5" s="387"/>
      <c r="O5" s="387"/>
      <c r="P5" s="389"/>
    </row>
    <row r="6" spans="1:16" x14ac:dyDescent="0.25">
      <c r="E6" t="s">
        <v>283</v>
      </c>
      <c r="F6" s="368">
        <f>'Vereinbarung 2026'!Q58</f>
        <v>14.32</v>
      </c>
      <c r="G6" t="s">
        <v>411</v>
      </c>
      <c r="I6" s="386"/>
      <c r="J6" s="387"/>
      <c r="K6" s="387"/>
      <c r="L6" s="387"/>
      <c r="M6" s="387"/>
      <c r="N6" s="387"/>
      <c r="O6" s="387"/>
      <c r="P6" s="389"/>
    </row>
    <row r="7" spans="1:16" x14ac:dyDescent="0.25">
      <c r="A7" t="s">
        <v>269</v>
      </c>
      <c r="B7" s="367">
        <f>C28</f>
        <v>134.25</v>
      </c>
      <c r="I7" s="386"/>
      <c r="J7" s="387" t="s">
        <v>269</v>
      </c>
      <c r="K7" s="390">
        <f>B7</f>
        <v>134.25</v>
      </c>
      <c r="L7" s="387"/>
      <c r="M7" s="387"/>
      <c r="N7" s="387"/>
      <c r="O7" s="387"/>
      <c r="P7" s="389"/>
    </row>
    <row r="8" spans="1:16" x14ac:dyDescent="0.25">
      <c r="A8" t="s">
        <v>270</v>
      </c>
      <c r="B8" s="367">
        <f>C34</f>
        <v>144.18</v>
      </c>
      <c r="I8" s="386"/>
      <c r="J8" s="387" t="s">
        <v>270</v>
      </c>
      <c r="K8" s="390">
        <f>B8</f>
        <v>144.18</v>
      </c>
      <c r="L8" s="387"/>
      <c r="M8" s="387"/>
      <c r="N8" s="387"/>
      <c r="O8" s="387"/>
      <c r="P8" s="389"/>
    </row>
    <row r="9" spans="1:16" x14ac:dyDescent="0.25">
      <c r="A9" t="s">
        <v>271</v>
      </c>
      <c r="B9" s="366">
        <f>B7+B8</f>
        <v>278.43</v>
      </c>
      <c r="I9" s="386"/>
      <c r="J9" s="387" t="s">
        <v>271</v>
      </c>
      <c r="K9" s="391">
        <f>K7+K8</f>
        <v>278.43</v>
      </c>
      <c r="L9" s="387"/>
      <c r="M9" s="387"/>
      <c r="N9" s="387"/>
      <c r="O9" s="387"/>
      <c r="P9" s="389"/>
    </row>
    <row r="10" spans="1:16" x14ac:dyDescent="0.25">
      <c r="A10" t="s">
        <v>272</v>
      </c>
      <c r="B10" s="367">
        <f>B36</f>
        <v>54.67</v>
      </c>
      <c r="I10" s="386"/>
      <c r="J10" s="387" t="s">
        <v>272</v>
      </c>
      <c r="K10" s="390">
        <f>B10</f>
        <v>54.67</v>
      </c>
      <c r="L10" s="387"/>
      <c r="M10" s="387"/>
      <c r="N10" s="387"/>
      <c r="O10" s="387"/>
      <c r="P10" s="389"/>
    </row>
    <row r="11" spans="1:16" x14ac:dyDescent="0.25">
      <c r="A11" t="s">
        <v>273</v>
      </c>
      <c r="B11" s="366">
        <f>B9+B10</f>
        <v>333.1</v>
      </c>
      <c r="I11" s="386"/>
      <c r="J11" s="387" t="s">
        <v>273</v>
      </c>
      <c r="K11" s="391">
        <f>K9+K10</f>
        <v>333.1</v>
      </c>
      <c r="L11" s="387"/>
      <c r="M11" s="387"/>
      <c r="N11" s="387"/>
      <c r="O11" s="387"/>
      <c r="P11" s="389"/>
    </row>
    <row r="12" spans="1:16" x14ac:dyDescent="0.25">
      <c r="A12" t="s">
        <v>274</v>
      </c>
      <c r="B12" s="366">
        <f>B13+B14+B15+B16</f>
        <v>102.1</v>
      </c>
      <c r="I12" s="386"/>
      <c r="J12" s="387" t="s">
        <v>274</v>
      </c>
      <c r="K12" s="391">
        <f>K13+K14+K15+K16</f>
        <v>102.1</v>
      </c>
      <c r="L12" s="387"/>
      <c r="M12" s="387"/>
      <c r="N12" s="387"/>
      <c r="O12" s="387"/>
      <c r="P12" s="389"/>
    </row>
    <row r="13" spans="1:16" x14ac:dyDescent="0.25">
      <c r="A13" t="s">
        <v>275</v>
      </c>
      <c r="B13" s="367">
        <f>B41</f>
        <v>14.47</v>
      </c>
      <c r="C13" t="s">
        <v>284</v>
      </c>
      <c r="I13" s="386"/>
      <c r="J13" s="387" t="s">
        <v>275</v>
      </c>
      <c r="K13" s="390">
        <f>B13</f>
        <v>14.47</v>
      </c>
      <c r="L13" s="387"/>
      <c r="M13" s="387"/>
      <c r="N13" s="387"/>
      <c r="O13" s="387"/>
      <c r="P13" s="389"/>
    </row>
    <row r="14" spans="1:16" x14ac:dyDescent="0.25">
      <c r="A14" t="s">
        <v>276</v>
      </c>
      <c r="B14" s="367">
        <f>C42</f>
        <v>49.85</v>
      </c>
      <c r="I14" s="386"/>
      <c r="J14" s="387" t="s">
        <v>276</v>
      </c>
      <c r="K14" s="390">
        <f t="shared" ref="K14:K16" si="0">B14</f>
        <v>49.85</v>
      </c>
      <c r="L14" s="387"/>
      <c r="M14" s="387"/>
      <c r="N14" s="387"/>
      <c r="O14" s="387"/>
      <c r="P14" s="389"/>
    </row>
    <row r="15" spans="1:16" x14ac:dyDescent="0.25">
      <c r="A15" t="s">
        <v>277</v>
      </c>
      <c r="B15" s="367">
        <f>B46</f>
        <v>31.35</v>
      </c>
      <c r="C15" t="s">
        <v>285</v>
      </c>
      <c r="I15" s="386"/>
      <c r="J15" s="387" t="s">
        <v>277</v>
      </c>
      <c r="K15" s="390">
        <f t="shared" si="0"/>
        <v>31.35</v>
      </c>
      <c r="L15" s="387"/>
      <c r="M15" s="387"/>
      <c r="N15" s="387"/>
      <c r="O15" s="387"/>
      <c r="P15" s="389"/>
    </row>
    <row r="16" spans="1:16" x14ac:dyDescent="0.25">
      <c r="A16" t="s">
        <v>278</v>
      </c>
      <c r="B16" s="367">
        <f>B47</f>
        <v>6.43</v>
      </c>
      <c r="C16" t="s">
        <v>285</v>
      </c>
      <c r="I16" s="386"/>
      <c r="J16" s="387" t="s">
        <v>278</v>
      </c>
      <c r="K16" s="390">
        <f t="shared" si="0"/>
        <v>6.43</v>
      </c>
      <c r="L16" s="387"/>
      <c r="M16" s="387"/>
      <c r="N16" s="387"/>
      <c r="O16" s="387"/>
      <c r="P16" s="389"/>
    </row>
    <row r="17" spans="1:16" ht="13" thickBot="1" x14ac:dyDescent="0.3">
      <c r="I17" s="386"/>
      <c r="J17" s="387"/>
      <c r="K17" s="387"/>
      <c r="L17" s="387"/>
      <c r="M17" s="387"/>
      <c r="N17" s="387"/>
      <c r="O17" s="387"/>
      <c r="P17" s="389"/>
    </row>
    <row r="18" spans="1:16" ht="13" thickBot="1" x14ac:dyDescent="0.3">
      <c r="A18" s="603" t="s">
        <v>279</v>
      </c>
      <c r="B18" s="366">
        <f>B7+B8+B10+B12</f>
        <v>435.2</v>
      </c>
      <c r="E18" t="s">
        <v>309</v>
      </c>
      <c r="F18" s="368">
        <f>F6*30.42</f>
        <v>435.61</v>
      </c>
      <c r="I18" s="386"/>
      <c r="J18" s="605" t="s">
        <v>279</v>
      </c>
      <c r="K18" s="396">
        <f>K7+K8+K10+K12</f>
        <v>435.2</v>
      </c>
      <c r="L18" s="400" t="str">
        <f>IF(Wohnraumüberlassungskosten!A30="reale Auslastung und keine KSV Anpassung",'Antrag zur Mietübernahme KSV'!F18-'Antrag zur Mietübernahme KSV'!K18,"")</f>
        <v/>
      </c>
      <c r="M18" s="387" t="str">
        <f>IF(Wohnraumüberlassungskosten!A30="reale Auslastung und keine KSV Anpassung",'Antrag zur Mietübernahme KSV'!E25,"")</f>
        <v/>
      </c>
      <c r="N18" s="387"/>
      <c r="O18" s="387"/>
      <c r="P18" s="389"/>
    </row>
    <row r="19" spans="1:16" x14ac:dyDescent="0.25">
      <c r="A19" s="603"/>
      <c r="I19" s="386"/>
      <c r="J19" s="605"/>
      <c r="K19" s="387"/>
      <c r="L19" s="387"/>
      <c r="M19" s="387" t="str">
        <f>IF(Wohnraumüberlassungskosten!A30="reale Auslastung und keine KSV Anpassung","Anpassung Blatt Wohnraumüberlassung Zelle A30 empfohlen","")</f>
        <v/>
      </c>
      <c r="N19" s="387"/>
      <c r="O19" s="387"/>
      <c r="P19" s="389"/>
    </row>
    <row r="20" spans="1:16" x14ac:dyDescent="0.25">
      <c r="A20" t="s">
        <v>280</v>
      </c>
      <c r="B20" s="366">
        <f>B5*1.25</f>
        <v>0</v>
      </c>
      <c r="I20" s="386"/>
      <c r="J20" s="387" t="s">
        <v>280</v>
      </c>
      <c r="K20" s="391">
        <f>K5*1.25</f>
        <v>0</v>
      </c>
      <c r="L20" s="391"/>
      <c r="M20" s="387"/>
      <c r="N20" s="387"/>
      <c r="O20" s="387"/>
      <c r="P20" s="389"/>
    </row>
    <row r="21" spans="1:16" x14ac:dyDescent="0.25">
      <c r="A21" s="603" t="s">
        <v>281</v>
      </c>
      <c r="E21" s="603" t="s">
        <v>317</v>
      </c>
      <c r="I21" s="386"/>
      <c r="J21" s="605" t="s">
        <v>281</v>
      </c>
      <c r="K21" s="387"/>
      <c r="L21" s="387"/>
      <c r="M21" s="387"/>
      <c r="N21" s="387"/>
      <c r="O21" s="387"/>
      <c r="P21" s="389"/>
    </row>
    <row r="22" spans="1:16" ht="13.5" customHeight="1" thickBot="1" x14ac:dyDescent="0.3">
      <c r="A22" s="603"/>
      <c r="B22" s="366">
        <f>B18-B20</f>
        <v>435.2</v>
      </c>
      <c r="E22" s="603"/>
      <c r="F22" s="366"/>
      <c r="I22" s="386"/>
      <c r="J22" s="605"/>
      <c r="K22" s="391">
        <f>K18-K20</f>
        <v>435.2</v>
      </c>
      <c r="L22" s="387"/>
      <c r="M22" s="387"/>
      <c r="N22" s="387"/>
      <c r="O22" s="387"/>
      <c r="P22" s="389"/>
    </row>
    <row r="23" spans="1:16" ht="13.5" thickBot="1" x14ac:dyDescent="0.35">
      <c r="E23" s="603"/>
      <c r="F23" s="415">
        <f>F18-K18</f>
        <v>0.41</v>
      </c>
      <c r="H23" t="s">
        <v>318</v>
      </c>
      <c r="I23" s="386"/>
      <c r="J23" s="387"/>
      <c r="K23" s="387"/>
      <c r="L23" s="387"/>
      <c r="M23" s="387"/>
      <c r="N23" s="387"/>
      <c r="O23" s="387"/>
      <c r="P23" s="389"/>
    </row>
    <row r="24" spans="1:16" x14ac:dyDescent="0.25">
      <c r="E24" s="416" t="s">
        <v>316</v>
      </c>
      <c r="I24" s="386"/>
      <c r="J24" s="387"/>
      <c r="K24" s="387"/>
      <c r="L24" s="387"/>
      <c r="M24" s="387"/>
      <c r="N24" s="387"/>
      <c r="O24" s="387"/>
      <c r="P24" s="389"/>
    </row>
    <row r="25" spans="1:16" x14ac:dyDescent="0.25">
      <c r="A25" s="603" t="s">
        <v>282</v>
      </c>
      <c r="E25" s="613" t="str">
        <f>'Vereinbarung 2026'!U9</f>
        <v>Mietpreiskalkulation  entspr. KSV Kalkulation auf 100% Auslastung, dadurch ein etwas höherer Mietpreis als bei realer Auslastung</v>
      </c>
      <c r="F25" s="613"/>
      <c r="G25" s="613"/>
      <c r="H25" s="614"/>
      <c r="I25" s="386"/>
      <c r="J25" s="605" t="s">
        <v>282</v>
      </c>
      <c r="K25" s="387"/>
      <c r="L25" s="387"/>
      <c r="M25" s="387"/>
      <c r="N25" s="387"/>
      <c r="O25" s="387"/>
      <c r="P25" s="389"/>
    </row>
    <row r="26" spans="1:16" ht="13" thickBot="1" x14ac:dyDescent="0.3">
      <c r="A26" s="603"/>
      <c r="B26" s="366">
        <f>B22</f>
        <v>435.2</v>
      </c>
      <c r="E26" s="613"/>
      <c r="F26" s="613"/>
      <c r="G26" s="613"/>
      <c r="H26" s="614"/>
      <c r="I26" s="392"/>
      <c r="J26" s="606"/>
      <c r="K26" s="393">
        <f>K22</f>
        <v>435.2</v>
      </c>
      <c r="L26" s="394"/>
      <c r="M26" s="394"/>
      <c r="N26" s="394"/>
      <c r="O26" s="394"/>
      <c r="P26" s="395"/>
    </row>
    <row r="28" spans="1:16" ht="13" x14ac:dyDescent="0.3">
      <c r="A28" s="376" t="s">
        <v>291</v>
      </c>
      <c r="B28" s="369"/>
      <c r="C28" s="205">
        <f>B29-B30-B31-B32</f>
        <v>134.25</v>
      </c>
      <c r="D28" s="370"/>
      <c r="E28" s="384" t="s">
        <v>308</v>
      </c>
    </row>
    <row r="29" spans="1:16" x14ac:dyDescent="0.25">
      <c r="A29" s="371" t="s">
        <v>166</v>
      </c>
      <c r="B29">
        <f>Wohnraumüberlassungskosten!E33</f>
        <v>198.57</v>
      </c>
      <c r="C29" t="s">
        <v>284</v>
      </c>
      <c r="D29" s="372"/>
    </row>
    <row r="30" spans="1:16" x14ac:dyDescent="0.25">
      <c r="A30" s="378" t="s">
        <v>212</v>
      </c>
      <c r="B30">
        <f>Wohnraumüberlassungskosten!E34</f>
        <v>14.47</v>
      </c>
      <c r="C30" t="s">
        <v>284</v>
      </c>
      <c r="D30" s="372"/>
    </row>
    <row r="31" spans="1:16" x14ac:dyDescent="0.25">
      <c r="A31" s="378" t="s">
        <v>213</v>
      </c>
      <c r="B31">
        <f>Wohnraumüberlassungskosten!E35</f>
        <v>48.24</v>
      </c>
      <c r="C31" t="s">
        <v>284</v>
      </c>
      <c r="D31" s="372"/>
      <c r="E31" t="s">
        <v>294</v>
      </c>
    </row>
    <row r="32" spans="1:16" x14ac:dyDescent="0.25">
      <c r="A32" s="378" t="s">
        <v>214</v>
      </c>
      <c r="B32">
        <f>Wohnraumüberlassungskosten!E36</f>
        <v>1.61</v>
      </c>
      <c r="C32" t="s">
        <v>284</v>
      </c>
      <c r="D32" s="372"/>
    </row>
    <row r="33" spans="1:5" x14ac:dyDescent="0.25">
      <c r="A33" s="371"/>
      <c r="D33" s="372"/>
      <c r="E33" t="s">
        <v>295</v>
      </c>
    </row>
    <row r="34" spans="1:5" x14ac:dyDescent="0.25">
      <c r="A34" s="371" t="s">
        <v>292</v>
      </c>
      <c r="C34" s="205">
        <f>B35-B36-B38-B39</f>
        <v>144.18</v>
      </c>
      <c r="D34" s="372"/>
      <c r="E34" s="383" t="s">
        <v>296</v>
      </c>
    </row>
    <row r="35" spans="1:5" x14ac:dyDescent="0.25">
      <c r="A35" s="379" t="s">
        <v>217</v>
      </c>
      <c r="B35">
        <f>Nebenkosten!F30</f>
        <v>236.63</v>
      </c>
      <c r="C35" t="s">
        <v>285</v>
      </c>
      <c r="D35" s="372"/>
      <c r="E35" t="s">
        <v>297</v>
      </c>
    </row>
    <row r="36" spans="1:5" x14ac:dyDescent="0.25">
      <c r="A36" s="378" t="str">
        <f>Nebenkosten!D31</f>
        <v>Heizkosten</v>
      </c>
      <c r="B36">
        <f>Nebenkosten!F31</f>
        <v>54.67</v>
      </c>
      <c r="C36" t="s">
        <v>285</v>
      </c>
      <c r="D36" s="372"/>
      <c r="E36" s="383" t="s">
        <v>298</v>
      </c>
    </row>
    <row r="37" spans="1:5" x14ac:dyDescent="0.25">
      <c r="A37" s="378" t="s">
        <v>293</v>
      </c>
      <c r="D37" s="372"/>
      <c r="E37" t="s">
        <v>299</v>
      </c>
    </row>
    <row r="38" spans="1:5" x14ac:dyDescent="0.25">
      <c r="A38" s="378" t="str">
        <f>Nebenkosten!D32</f>
        <v>Haushaltsstrom</v>
      </c>
      <c r="B38">
        <f>Nebenkosten!F32</f>
        <v>31.35</v>
      </c>
      <c r="C38" t="s">
        <v>285</v>
      </c>
      <c r="D38" s="372"/>
      <c r="E38" s="383" t="s">
        <v>300</v>
      </c>
    </row>
    <row r="39" spans="1:5" x14ac:dyDescent="0.25">
      <c r="A39" s="378" t="str">
        <f>Nebenkosten!D33</f>
        <v>Telekommunikation, Rundfunk, Fernsehen, Internet</v>
      </c>
      <c r="B39">
        <f>Nebenkosten!F33</f>
        <v>6.43</v>
      </c>
      <c r="C39" t="s">
        <v>285</v>
      </c>
      <c r="D39" s="372"/>
    </row>
    <row r="40" spans="1:5" x14ac:dyDescent="0.25">
      <c r="A40" s="371"/>
      <c r="D40" s="372"/>
      <c r="E40" t="s">
        <v>301</v>
      </c>
    </row>
    <row r="41" spans="1:5" x14ac:dyDescent="0.25">
      <c r="A41" s="371" t="s">
        <v>275</v>
      </c>
      <c r="B41" s="382">
        <f>Wohnraumüberlassungskosten!E34</f>
        <v>14.47</v>
      </c>
      <c r="C41" t="s">
        <v>284</v>
      </c>
      <c r="D41" s="372"/>
    </row>
    <row r="42" spans="1:5" x14ac:dyDescent="0.25">
      <c r="A42" s="371" t="s">
        <v>276</v>
      </c>
      <c r="C42" s="377">
        <f>B43+B44</f>
        <v>49.85</v>
      </c>
      <c r="D42" s="372"/>
      <c r="E42" t="s">
        <v>295</v>
      </c>
    </row>
    <row r="43" spans="1:5" x14ac:dyDescent="0.25">
      <c r="A43" s="378" t="s">
        <v>213</v>
      </c>
      <c r="B43">
        <f>Wohnraumüberlassungskosten!E35</f>
        <v>48.24</v>
      </c>
      <c r="C43" t="s">
        <v>284</v>
      </c>
      <c r="D43" s="372"/>
      <c r="E43" s="383" t="s">
        <v>302</v>
      </c>
    </row>
    <row r="44" spans="1:5" x14ac:dyDescent="0.25">
      <c r="A44" s="378" t="str">
        <f>Wohnraumüberlassungskosten!C36</f>
        <v xml:space="preserve">      Haushaltsgroßgeräte</v>
      </c>
      <c r="B44">
        <f>Wohnraumüberlassungskosten!E36</f>
        <v>1.61</v>
      </c>
      <c r="C44" t="s">
        <v>284</v>
      </c>
      <c r="D44" s="372"/>
      <c r="E44" t="s">
        <v>297</v>
      </c>
    </row>
    <row r="45" spans="1:5" x14ac:dyDescent="0.25">
      <c r="A45" s="371"/>
      <c r="D45" s="372"/>
      <c r="E45" s="383" t="s">
        <v>303</v>
      </c>
    </row>
    <row r="46" spans="1:5" x14ac:dyDescent="0.25">
      <c r="A46" s="378" t="s">
        <v>277</v>
      </c>
      <c r="B46" s="382">
        <f>Nebenkosten!F32</f>
        <v>31.35</v>
      </c>
      <c r="C46" t="s">
        <v>285</v>
      </c>
      <c r="D46" s="372"/>
      <c r="E46" t="s">
        <v>299</v>
      </c>
    </row>
    <row r="47" spans="1:5" x14ac:dyDescent="0.25">
      <c r="A47" s="378" t="s">
        <v>278</v>
      </c>
      <c r="B47" s="382">
        <f>Nebenkosten!F33</f>
        <v>6.43</v>
      </c>
      <c r="C47" t="s">
        <v>285</v>
      </c>
      <c r="D47" s="372"/>
      <c r="E47" s="383" t="s">
        <v>304</v>
      </c>
    </row>
    <row r="48" spans="1:5" x14ac:dyDescent="0.25">
      <c r="A48" s="371"/>
      <c r="D48" s="372"/>
      <c r="E48" t="s">
        <v>305</v>
      </c>
    </row>
    <row r="49" spans="1:5" x14ac:dyDescent="0.25">
      <c r="A49" s="371"/>
      <c r="D49" s="372"/>
      <c r="E49" s="383" t="s">
        <v>306</v>
      </c>
    </row>
    <row r="50" spans="1:5" x14ac:dyDescent="0.25">
      <c r="A50" s="371"/>
      <c r="D50" s="372"/>
    </row>
    <row r="51" spans="1:5" x14ac:dyDescent="0.25">
      <c r="A51" s="371"/>
      <c r="D51" s="372"/>
      <c r="E51" t="s">
        <v>307</v>
      </c>
    </row>
    <row r="52" spans="1:5" x14ac:dyDescent="0.25">
      <c r="A52" s="371"/>
      <c r="D52" s="372"/>
    </row>
    <row r="53" spans="1:5" x14ac:dyDescent="0.25">
      <c r="A53" s="371"/>
      <c r="D53" s="372"/>
    </row>
    <row r="54" spans="1:5" x14ac:dyDescent="0.25">
      <c r="A54" s="371"/>
      <c r="D54" s="372"/>
    </row>
    <row r="55" spans="1:5" x14ac:dyDescent="0.25">
      <c r="A55" s="371"/>
      <c r="D55" s="372"/>
    </row>
    <row r="56" spans="1:5" x14ac:dyDescent="0.25">
      <c r="A56" s="373"/>
      <c r="B56" s="374"/>
      <c r="C56" s="374"/>
      <c r="D56" s="375"/>
    </row>
  </sheetData>
  <sheetProtection sheet="1" objects="1" scenarios="1"/>
  <mergeCells count="10">
    <mergeCell ref="A18:A19"/>
    <mergeCell ref="A21:A22"/>
    <mergeCell ref="A25:A26"/>
    <mergeCell ref="A2:C2"/>
    <mergeCell ref="J18:J19"/>
    <mergeCell ref="J21:J22"/>
    <mergeCell ref="J25:J26"/>
    <mergeCell ref="I1:P2"/>
    <mergeCell ref="E21:E23"/>
    <mergeCell ref="E25:H26"/>
  </mergeCells>
  <conditionalFormatting sqref="A30:A32">
    <cfRule type="containsErrors" dxfId="4" priority="7">
      <formula>ISERROR(A30)</formula>
    </cfRule>
    <cfRule type="containsErrors" dxfId="3" priority="8">
      <formula>ISERROR(A30)</formula>
    </cfRule>
  </conditionalFormatting>
  <conditionalFormatting sqref="A35:A36 A38">
    <cfRule type="containsErrors" priority="3">
      <formula>ISERROR(A35)</formula>
    </cfRule>
    <cfRule type="containsErrors" dxfId="2" priority="4">
      <formula>ISERROR(A35)</formula>
    </cfRule>
  </conditionalFormatting>
  <conditionalFormatting sqref="A43">
    <cfRule type="containsErrors" dxfId="1" priority="1">
      <formula>ISERROR(A43)</formula>
    </cfRule>
    <cfRule type="containsErrors" dxfId="0" priority="2">
      <formula>ISERROR(A43)</formula>
    </cfRule>
  </conditionalFormatting>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Hinweise</vt:lpstr>
      <vt:lpstr>Stammblatt</vt:lpstr>
      <vt:lpstr>Vereinbarung 2026</vt:lpstr>
      <vt:lpstr>Budgetabgleich 2026</vt:lpstr>
      <vt:lpstr>Landkreise</vt:lpstr>
      <vt:lpstr>Wohnraumüberlassungskosten</vt:lpstr>
      <vt:lpstr>Nebenkosten</vt:lpstr>
      <vt:lpstr>Lebensunterhalt</vt:lpstr>
      <vt:lpstr>Antrag zur Mietübernahme KSV</vt:lpstr>
      <vt:lpstr>Nebenkosten!Druckbereich</vt:lpstr>
      <vt:lpstr>Stammblatt!Druckbereich</vt:lpstr>
      <vt:lpstr>'Vereinbarung 2026'!Druckbereich</vt:lpstr>
      <vt:lpstr>Wohnraumüberlassungskosten!Druckbereich</vt:lpstr>
    </vt:vector>
  </TitlesOfParts>
  <Company>MPilz.net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Chmelarz</dc:creator>
  <cp:lastModifiedBy>Cellar, Anne</cp:lastModifiedBy>
  <cp:lastPrinted>2024-01-17T07:13:43Z</cp:lastPrinted>
  <dcterms:created xsi:type="dcterms:W3CDTF">2019-02-28T12:35:41Z</dcterms:created>
  <dcterms:modified xsi:type="dcterms:W3CDTF">2025-09-29T13:46:04Z</dcterms:modified>
</cp:coreProperties>
</file>