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data.plus.aok.de\dfs\DAT\G\PP\VM\S\_ALL\SAC\GREMIEN_ARBEITSGRUPPEN\UAG Antragsunterlagen\ab_14.08.2023\04_Abstimmungen_UAG\241111 UAG\Endversion Anträge\B3\"/>
    </mc:Choice>
  </mc:AlternateContent>
  <xr:revisionPtr revIDLastSave="0" documentId="13_ncr:1_{2D5076FC-E628-45C9-835B-8945A2160D68}" xr6:coauthVersionLast="47" xr6:coauthVersionMax="47" xr10:uidLastSave="{00000000-0000-0000-0000-000000000000}"/>
  <workbookProtection workbookAlgorithmName="SHA-512" workbookHashValue="8ZbQvf/FzrQ187ksJlMcJp1+slMk8SHq4JT1n1ZvZ87attfU5nHPWzlcHtF0Y7QNR448piHn97TeeRBRsxT1eA==" workbookSaltValue="z4nvw989Y1UjogmUgsgD2Q==" workbookSpinCount="100000" lockStructure="1"/>
  <bookViews>
    <workbookView xWindow="-120" yWindow="-120" windowWidth="29040" windowHeight="15840" tabRatio="783" xr2:uid="{00000000-000D-0000-FFFF-FFFF00000000}"/>
  </bookViews>
  <sheets>
    <sheet name="B3_Hinweise" sheetId="17" r:id="rId1"/>
    <sheet name="B3_Allgemeine Angaben" sheetId="1" r:id="rId2"/>
    <sheet name="B3_Kalkulation" sheetId="16" r:id="rId3"/>
    <sheet name="B3_Gesamtkalkulation" sheetId="7" r:id="rId4"/>
    <sheet name="B3_Bewohnervertretung" sheetId="8" r:id="rId5"/>
    <sheet name="B3_Ergebnis" sheetId="20" r:id="rId6"/>
    <sheet name="Adressen" sheetId="23" r:id="rId7"/>
    <sheet name="B3_VERSIONSINFO" sheetId="19" state="hidden" r:id="rId8"/>
    <sheet name="KAT" sheetId="9" state="hidden" r:id="rId9"/>
    <sheet name="Archiv" sheetId="24" state="hidden" r:id="rId10"/>
    <sheet name="Adressverzeichnis" sheetId="12" state="hidden" r:id="rId11"/>
  </sheets>
  <definedNames>
    <definedName name="divisor">#REF!</definedName>
    <definedName name="_xlnm.Print_Area" localSheetId="6">Adressen!$A$1:$I$61</definedName>
    <definedName name="_xlnm.Print_Area" localSheetId="10">Adressverzeichnis!$A$1:$I$52</definedName>
    <definedName name="_xlnm.Print_Area" localSheetId="1">'B3_Allgemeine Angaben'!$A$1:$N$78</definedName>
    <definedName name="_xlnm.Print_Area" localSheetId="4">B3_Bewohnervertretung!$A$1:$N$64</definedName>
    <definedName name="_xlnm.Print_Area" localSheetId="3">B3_Gesamtkalkulation!$A$1:$W$54</definedName>
    <definedName name="_xlnm.Print_Area" localSheetId="0">B3_Hinweise!$A$1:$G$38</definedName>
    <definedName name="_xlnm.Print_Area" localSheetId="2">B3_Kalkulation!$A$1:$R$66</definedName>
    <definedName name="_xlnm.Print_Area" localSheetId="7">B3_VERSIONSINFO!$A$1:$E$77</definedName>
    <definedName name="_xlnm.Print_Titles" localSheetId="7">B3_VERSIONSINFO!$5:$5</definedName>
    <definedName name="eeadivisor">B3_Gesamtkalkulation!$F$11</definedName>
    <definedName name="pnk">#REF!</definedName>
    <definedName name="risik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9" l="1"/>
  <c r="K92" i="9"/>
  <c r="J93" i="9"/>
  <c r="J92" i="9"/>
  <c r="L30" i="16"/>
  <c r="L29" i="16"/>
  <c r="L28" i="16"/>
  <c r="L27" i="16"/>
  <c r="L26" i="16"/>
  <c r="L25" i="16"/>
  <c r="L24" i="16"/>
  <c r="L23" i="16"/>
  <c r="L33" i="16"/>
  <c r="M92" i="9" l="1"/>
  <c r="L92" i="9"/>
  <c r="M93" i="9"/>
  <c r="L93" i="9"/>
  <c r="L94" i="9"/>
  <c r="L16" i="16" s="1"/>
  <c r="N94" i="9"/>
  <c r="L17" i="16" s="1"/>
  <c r="J94" i="9"/>
  <c r="L56" i="16" s="1"/>
  <c r="L42" i="20"/>
  <c r="I37" i="20"/>
  <c r="H37" i="20"/>
  <c r="G37" i="20"/>
  <c r="F37" i="20"/>
  <c r="E37" i="20"/>
  <c r="C37" i="20"/>
  <c r="B37" i="20"/>
  <c r="B35" i="20"/>
  <c r="L34" i="20"/>
  <c r="K34" i="20"/>
  <c r="J34" i="20"/>
  <c r="I34" i="20"/>
  <c r="H34" i="20"/>
  <c r="G34" i="20"/>
  <c r="F34" i="20"/>
  <c r="E34" i="20"/>
  <c r="D34" i="20"/>
  <c r="C34" i="20"/>
  <c r="B34" i="20"/>
  <c r="I32" i="20"/>
  <c r="C32" i="20"/>
  <c r="B32" i="20"/>
  <c r="I27" i="20"/>
  <c r="H27" i="20"/>
  <c r="C27" i="20"/>
  <c r="H23" i="20"/>
  <c r="G23" i="20"/>
  <c r="F23" i="20"/>
  <c r="E23" i="20"/>
  <c r="D23" i="20"/>
  <c r="C23" i="20"/>
  <c r="C18" i="20"/>
  <c r="D18" i="20"/>
  <c r="E18" i="20"/>
  <c r="F18" i="20"/>
  <c r="G18" i="20"/>
  <c r="H15" i="20"/>
  <c r="F15" i="20"/>
  <c r="G13" i="20"/>
  <c r="G12" i="20"/>
  <c r="G11" i="20"/>
  <c r="G7" i="20"/>
  <c r="G8" i="20"/>
  <c r="G6" i="20"/>
  <c r="G5" i="20"/>
  <c r="B8" i="20"/>
  <c r="B7" i="20"/>
  <c r="B13" i="20"/>
  <c r="B12" i="20"/>
  <c r="B11" i="20"/>
  <c r="C9" i="20"/>
  <c r="B6" i="20"/>
  <c r="A1" i="7"/>
  <c r="A1" i="20"/>
  <c r="L50" i="16"/>
  <c r="L51" i="16"/>
  <c r="L52" i="16"/>
  <c r="L49" i="16"/>
  <c r="L47" i="16"/>
  <c r="C38" i="20" s="1"/>
  <c r="L46" i="16"/>
  <c r="B38" i="20" s="1"/>
  <c r="L34" i="16"/>
  <c r="C35" i="20" s="1"/>
  <c r="L35" i="16"/>
  <c r="D35" i="20" s="1"/>
  <c r="K58" i="1"/>
  <c r="H38" i="20" l="1"/>
  <c r="G38" i="20"/>
  <c r="F38" i="20"/>
  <c r="E38" i="20"/>
  <c r="L36" i="16"/>
  <c r="E35" i="20" s="1"/>
  <c r="L37" i="16" l="1"/>
  <c r="F35" i="20" l="1"/>
  <c r="L38" i="16"/>
  <c r="G35" i="20" s="1"/>
  <c r="L39" i="16" l="1"/>
  <c r="H35" i="20" s="1"/>
  <c r="L40" i="16" l="1"/>
  <c r="I35" i="20" l="1"/>
  <c r="L42" i="16"/>
  <c r="K35" i="20" s="1"/>
  <c r="L41" i="16"/>
  <c r="J35" i="20" s="1"/>
  <c r="L43" i="16" l="1"/>
  <c r="L35" i="20" s="1"/>
  <c r="D24" i="7" l="1"/>
  <c r="B53" i="7"/>
  <c r="F10" i="16"/>
  <c r="D10" i="16"/>
  <c r="K46" i="1"/>
  <c r="K45" i="1"/>
  <c r="C7" i="16" s="1"/>
  <c r="F7" i="16" s="1"/>
  <c r="D36" i="7"/>
  <c r="J10" i="7"/>
  <c r="I25" i="16"/>
  <c r="D27" i="20" s="1"/>
  <c r="C82" i="9"/>
  <c r="C83" i="9"/>
  <c r="C84" i="9"/>
  <c r="C85" i="9"/>
  <c r="C81" i="9"/>
  <c r="B85" i="9"/>
  <c r="B84" i="9"/>
  <c r="B83" i="9"/>
  <c r="B82" i="9"/>
  <c r="B81" i="9"/>
  <c r="F43" i="16"/>
  <c r="D29" i="7"/>
  <c r="D7" i="1"/>
  <c r="J17" i="16"/>
  <c r="J18" i="16"/>
  <c r="J19" i="16"/>
  <c r="J20" i="16"/>
  <c r="J21" i="16"/>
  <c r="C70" i="9"/>
  <c r="B70" i="9"/>
  <c r="C69" i="9"/>
  <c r="B69" i="9"/>
  <c r="C71" i="9"/>
  <c r="B71" i="9"/>
  <c r="C72" i="9"/>
  <c r="B72" i="9"/>
  <c r="C73" i="9"/>
  <c r="B73" i="9"/>
  <c r="D62" i="9"/>
  <c r="J22" i="16" s="1"/>
  <c r="D87" i="9" s="1"/>
  <c r="L6" i="7"/>
  <c r="J6" i="7"/>
  <c r="D40" i="7"/>
  <c r="D42" i="7"/>
  <c r="D43" i="7"/>
  <c r="D44" i="7"/>
  <c r="D45" i="7"/>
  <c r="D39" i="7"/>
  <c r="L10" i="16"/>
  <c r="J10" i="16"/>
  <c r="C41" i="7"/>
  <c r="C42" i="7"/>
  <c r="C43" i="7"/>
  <c r="C44" i="7"/>
  <c r="C45" i="7"/>
  <c r="C40" i="7"/>
  <c r="B40" i="7"/>
  <c r="B41" i="7"/>
  <c r="B42" i="7"/>
  <c r="B43" i="7"/>
  <c r="B44" i="7"/>
  <c r="B45" i="7"/>
  <c r="B39" i="7"/>
  <c r="L57" i="16"/>
  <c r="C49" i="9"/>
  <c r="D49" i="9"/>
  <c r="E49" i="9"/>
  <c r="F49" i="9"/>
  <c r="F56" i="9"/>
  <c r="E56" i="9"/>
  <c r="D56" i="9"/>
  <c r="C56" i="9"/>
  <c r="F53" i="9"/>
  <c r="E53" i="9"/>
  <c r="D53" i="9"/>
  <c r="F52" i="9"/>
  <c r="E52" i="9"/>
  <c r="D52" i="9"/>
  <c r="D28" i="7"/>
  <c r="D30" i="7"/>
  <c r="D31" i="7"/>
  <c r="D32" i="7"/>
  <c r="D33" i="7"/>
  <c r="D34" i="7"/>
  <c r="D35" i="7"/>
  <c r="D27" i="7"/>
  <c r="L12" i="16"/>
  <c r="J30" i="16" s="1"/>
  <c r="H32" i="20" s="1"/>
  <c r="H10" i="7"/>
  <c r="L6" i="16"/>
  <c r="L10" i="7"/>
  <c r="P10" i="7"/>
  <c r="N10" i="7"/>
  <c r="A1" i="16"/>
  <c r="D17" i="16"/>
  <c r="D18" i="16"/>
  <c r="D19" i="16"/>
  <c r="D20" i="16"/>
  <c r="D21" i="16"/>
  <c r="F12" i="16"/>
  <c r="D30" i="16"/>
  <c r="I26" i="16"/>
  <c r="E27" i="20" s="1"/>
  <c r="I27" i="16"/>
  <c r="F27" i="20" s="1"/>
  <c r="I28" i="16"/>
  <c r="G27" i="20" s="1"/>
  <c r="K29" i="16"/>
  <c r="K28" i="16"/>
  <c r="K27" i="16"/>
  <c r="K26" i="16"/>
  <c r="K25" i="16"/>
  <c r="K24" i="16"/>
  <c r="E24" i="16"/>
  <c r="E25" i="16"/>
  <c r="E26" i="16"/>
  <c r="E27" i="16"/>
  <c r="E28" i="16"/>
  <c r="E29" i="16"/>
  <c r="A4" i="1"/>
  <c r="A4" i="8"/>
  <c r="K72" i="1"/>
  <c r="S53" i="7"/>
  <c r="Q53" i="7"/>
  <c r="O53" i="7"/>
  <c r="M53" i="7"/>
  <c r="K53" i="7"/>
  <c r="I53" i="7"/>
  <c r="G53" i="7"/>
  <c r="D6" i="7"/>
  <c r="F7" i="1"/>
  <c r="D11" i="1"/>
  <c r="E7" i="1"/>
  <c r="A3" i="1"/>
  <c r="A3" i="8" s="1"/>
  <c r="B23" i="9"/>
  <c r="A4" i="7"/>
  <c r="A4" i="16"/>
  <c r="D24" i="16"/>
  <c r="D27" i="16"/>
  <c r="D28" i="16"/>
  <c r="D26" i="16"/>
  <c r="D25" i="16"/>
  <c r="V53" i="7"/>
  <c r="K61" i="16" s="1"/>
  <c r="N53" i="7"/>
  <c r="E61" i="16" s="1"/>
  <c r="R53" i="7"/>
  <c r="I61" i="16" s="1"/>
  <c r="P53" i="7"/>
  <c r="F61" i="16" s="1"/>
  <c r="L53" i="7"/>
  <c r="D61" i="16" s="1"/>
  <c r="J53" i="7"/>
  <c r="C61" i="16" s="1"/>
  <c r="D71" i="9" l="1"/>
  <c r="B74" i="9"/>
  <c r="D81" i="9"/>
  <c r="D83" i="9"/>
  <c r="D82" i="9"/>
  <c r="D72" i="9"/>
  <c r="J27" i="16"/>
  <c r="D75" i="9"/>
  <c r="J28" i="16"/>
  <c r="J25" i="16"/>
  <c r="D20" i="7" s="1"/>
  <c r="Q20" i="7" s="1"/>
  <c r="D73" i="9"/>
  <c r="D23" i="16"/>
  <c r="D85" i="9"/>
  <c r="M10" i="16"/>
  <c r="J26" i="16"/>
  <c r="D21" i="7" s="1"/>
  <c r="B88" i="9"/>
  <c r="E10" i="7"/>
  <c r="D84" i="9"/>
  <c r="D86" i="9" s="1"/>
  <c r="E82" i="9" s="1"/>
  <c r="D70" i="9"/>
  <c r="J24" i="16"/>
  <c r="D18" i="7" s="1"/>
  <c r="D19" i="7"/>
  <c r="U19" i="7" s="1"/>
  <c r="D69" i="9"/>
  <c r="D74" i="9" s="1"/>
  <c r="D32" i="20"/>
  <c r="E32" i="20"/>
  <c r="D23" i="7"/>
  <c r="G32" i="20"/>
  <c r="D22" i="7"/>
  <c r="Q22" i="7" s="1"/>
  <c r="F32" i="20"/>
  <c r="A3" i="16"/>
  <c r="A3" i="7"/>
  <c r="H11" i="7"/>
  <c r="J11" i="7"/>
  <c r="N11" i="7"/>
  <c r="P11" i="7"/>
  <c r="N6" i="7"/>
  <c r="M42" i="7" s="1"/>
  <c r="N42" i="7" s="1"/>
  <c r="P6" i="7"/>
  <c r="L11" i="7"/>
  <c r="Q40" i="7"/>
  <c r="D26" i="7"/>
  <c r="S27" i="7"/>
  <c r="Q29" i="7"/>
  <c r="Q36" i="7"/>
  <c r="J23" i="16"/>
  <c r="D17" i="7" s="1"/>
  <c r="F53" i="16"/>
  <c r="J49" i="7"/>
  <c r="H57" i="16" s="1"/>
  <c r="E49" i="7"/>
  <c r="N48" i="7"/>
  <c r="L48" i="7"/>
  <c r="Q23" i="7"/>
  <c r="K15" i="16"/>
  <c r="P48" i="7"/>
  <c r="O48" i="7"/>
  <c r="J9" i="1"/>
  <c r="I49" i="7"/>
  <c r="M48" i="7"/>
  <c r="Q43" i="7"/>
  <c r="Q39" i="7"/>
  <c r="Q44" i="7"/>
  <c r="Q45" i="7"/>
  <c r="Q42" i="7"/>
  <c r="Q35" i="7"/>
  <c r="Q33" i="7"/>
  <c r="Q34" i="7"/>
  <c r="Q30" i="7"/>
  <c r="Q31" i="7"/>
  <c r="H53" i="7"/>
  <c r="B61" i="16" s="1"/>
  <c r="Q24" i="7"/>
  <c r="K48" i="7"/>
  <c r="P49" i="7"/>
  <c r="E48" i="7"/>
  <c r="I48" i="7"/>
  <c r="J48" i="7"/>
  <c r="N49" i="7"/>
  <c r="H49" i="1"/>
  <c r="I15" i="16"/>
  <c r="C47" i="7"/>
  <c r="D48" i="7"/>
  <c r="O49" i="7"/>
  <c r="M49" i="7"/>
  <c r="J15" i="16"/>
  <c r="L8" i="7"/>
  <c r="N8" i="7" s="1"/>
  <c r="F25" i="9"/>
  <c r="L49" i="7"/>
  <c r="K49" i="7"/>
  <c r="D49" i="7"/>
  <c r="L48" i="16"/>
  <c r="K34" i="7" l="1"/>
  <c r="L34" i="7" s="1"/>
  <c r="M34" i="16"/>
  <c r="R34" i="7"/>
  <c r="R44" i="7"/>
  <c r="M36" i="7"/>
  <c r="N36" i="7" s="1"/>
  <c r="G42" i="7"/>
  <c r="I36" i="7"/>
  <c r="J36" i="7" s="1"/>
  <c r="G40" i="7"/>
  <c r="H40" i="7" s="1"/>
  <c r="O31" i="7"/>
  <c r="P31" i="7" s="1"/>
  <c r="G29" i="7"/>
  <c r="H29" i="7" s="1"/>
  <c r="R40" i="7"/>
  <c r="M40" i="7"/>
  <c r="N40" i="7" s="1"/>
  <c r="I40" i="7"/>
  <c r="J40" i="7" s="1"/>
  <c r="M41" i="16"/>
  <c r="G18" i="7"/>
  <c r="H18" i="7" s="1"/>
  <c r="G34" i="7"/>
  <c r="H34" i="7" s="1"/>
  <c r="R23" i="7"/>
  <c r="M35" i="16"/>
  <c r="E83" i="9"/>
  <c r="V19" i="7"/>
  <c r="V51" i="7" s="1"/>
  <c r="K57" i="16" s="1"/>
  <c r="G20" i="7"/>
  <c r="E84" i="9"/>
  <c r="I42" i="7"/>
  <c r="J42" i="7" s="1"/>
  <c r="I18" i="7"/>
  <c r="J18" i="7" s="1"/>
  <c r="E81" i="9"/>
  <c r="E85" i="9"/>
  <c r="D88" i="9"/>
  <c r="F84" i="9" s="1"/>
  <c r="G84" i="9" s="1"/>
  <c r="H84" i="9" s="1"/>
  <c r="D41" i="7"/>
  <c r="M41" i="7" s="1"/>
  <c r="N41" i="7" s="1"/>
  <c r="D38" i="20"/>
  <c r="L53" i="16"/>
  <c r="I38" i="20" s="1"/>
  <c r="K18" i="7"/>
  <c r="L18" i="7" s="1"/>
  <c r="K40" i="7"/>
  <c r="L40" i="7" s="1"/>
  <c r="O21" i="7"/>
  <c r="P21" i="7" s="1"/>
  <c r="G30" i="7"/>
  <c r="I30" i="7"/>
  <c r="J30" i="7" s="1"/>
  <c r="K30" i="7"/>
  <c r="L30" i="7" s="1"/>
  <c r="M39" i="7"/>
  <c r="N39" i="7" s="1"/>
  <c r="K44" i="7"/>
  <c r="L44" i="7" s="1"/>
  <c r="O39" i="7"/>
  <c r="P39" i="7" s="1"/>
  <c r="R39" i="7"/>
  <c r="M30" i="7"/>
  <c r="N30" i="7" s="1"/>
  <c r="O30" i="7"/>
  <c r="P30" i="7" s="1"/>
  <c r="K24" i="7"/>
  <c r="L24" i="7" s="1"/>
  <c r="R30" i="7"/>
  <c r="G35" i="7"/>
  <c r="M43" i="7"/>
  <c r="N43" i="7" s="1"/>
  <c r="G36" i="7"/>
  <c r="H36" i="7" s="1"/>
  <c r="K31" i="7"/>
  <c r="L31" i="7" s="1"/>
  <c r="I35" i="7"/>
  <c r="J35" i="7" s="1"/>
  <c r="I39" i="7"/>
  <c r="J39" i="7" s="1"/>
  <c r="K35" i="7"/>
  <c r="L35" i="7" s="1"/>
  <c r="O20" i="7"/>
  <c r="P20" i="7" s="1"/>
  <c r="O35" i="7"/>
  <c r="P35" i="7" s="1"/>
  <c r="I43" i="7"/>
  <c r="J43" i="7" s="1"/>
  <c r="M20" i="7"/>
  <c r="N20" i="7" s="1"/>
  <c r="O28" i="7"/>
  <c r="P28" i="7" s="1"/>
  <c r="O42" i="7"/>
  <c r="P42" i="7" s="1"/>
  <c r="M31" i="7"/>
  <c r="N31" i="7" s="1"/>
  <c r="M28" i="7"/>
  <c r="N28" i="7" s="1"/>
  <c r="M36" i="16"/>
  <c r="M48" i="16"/>
  <c r="M49" i="16"/>
  <c r="M52" i="16"/>
  <c r="M51" i="16"/>
  <c r="M46" i="16"/>
  <c r="M47" i="16"/>
  <c r="M50" i="16"/>
  <c r="O29" i="7"/>
  <c r="P29" i="7" s="1"/>
  <c r="M23" i="7"/>
  <c r="N23" i="7" s="1"/>
  <c r="R29" i="7"/>
  <c r="O24" i="7"/>
  <c r="P24" i="7" s="1"/>
  <c r="G44" i="7"/>
  <c r="H44" i="7" s="1"/>
  <c r="R31" i="7"/>
  <c r="M29" i="7"/>
  <c r="N29" i="7" s="1"/>
  <c r="M33" i="7"/>
  <c r="N33" i="7" s="1"/>
  <c r="R24" i="7"/>
  <c r="I32" i="7"/>
  <c r="J32" i="7" s="1"/>
  <c r="R33" i="7"/>
  <c r="I44" i="7"/>
  <c r="J44" i="7" s="1"/>
  <c r="G21" i="7"/>
  <c r="H21" i="7" s="1"/>
  <c r="I34" i="7"/>
  <c r="J34" i="7" s="1"/>
  <c r="M24" i="7"/>
  <c r="N24" i="7" s="1"/>
  <c r="O45" i="7"/>
  <c r="P45" i="7" s="1"/>
  <c r="O32" i="7"/>
  <c r="P32" i="7" s="1"/>
  <c r="O44" i="7"/>
  <c r="P44" i="7" s="1"/>
  <c r="I31" i="7"/>
  <c r="J31" i="7" s="1"/>
  <c r="O43" i="7"/>
  <c r="P43" i="7" s="1"/>
  <c r="I24" i="7"/>
  <c r="J24" i="7" s="1"/>
  <c r="K45" i="7"/>
  <c r="L45" i="7" s="1"/>
  <c r="O33" i="7"/>
  <c r="P33" i="7" s="1"/>
  <c r="M18" i="7"/>
  <c r="N18" i="7" s="1"/>
  <c r="M32" i="7"/>
  <c r="N32" i="7" s="1"/>
  <c r="R35" i="7"/>
  <c r="O18" i="7"/>
  <c r="P18" i="7" s="1"/>
  <c r="G28" i="7"/>
  <c r="H28" i="7" s="1"/>
  <c r="H26" i="7" s="1"/>
  <c r="M35" i="7"/>
  <c r="N35" i="7" s="1"/>
  <c r="M44" i="7"/>
  <c r="N44" i="7" s="1"/>
  <c r="O40" i="7"/>
  <c r="P40" i="7" s="1"/>
  <c r="M21" i="7"/>
  <c r="N21" i="7" s="1"/>
  <c r="Q21" i="7"/>
  <c r="R21" i="7" s="1"/>
  <c r="I21" i="7"/>
  <c r="J21" i="7" s="1"/>
  <c r="K23" i="7"/>
  <c r="L23" i="7" s="1"/>
  <c r="G22" i="7"/>
  <c r="H22" i="7" s="1"/>
  <c r="G23" i="7"/>
  <c r="H23" i="7" s="1"/>
  <c r="E73" i="9"/>
  <c r="E72" i="9"/>
  <c r="E71" i="9"/>
  <c r="D76" i="9"/>
  <c r="F76" i="9" s="1"/>
  <c r="E69" i="9"/>
  <c r="E70" i="9"/>
  <c r="K21" i="7"/>
  <c r="L21" i="7" s="1"/>
  <c r="R22" i="7"/>
  <c r="M40" i="16"/>
  <c r="G32" i="7"/>
  <c r="H32" i="7" s="1"/>
  <c r="O34" i="7"/>
  <c r="P34" i="7" s="1"/>
  <c r="R42" i="7"/>
  <c r="G43" i="7"/>
  <c r="H43" i="7" s="1"/>
  <c r="O23" i="7"/>
  <c r="P23" i="7" s="1"/>
  <c r="O36" i="7"/>
  <c r="P36" i="7" s="1"/>
  <c r="M39" i="16"/>
  <c r="G24" i="7"/>
  <c r="H24" i="7" s="1"/>
  <c r="K32" i="7"/>
  <c r="L32" i="7" s="1"/>
  <c r="M34" i="7"/>
  <c r="N34" i="7" s="1"/>
  <c r="R45" i="7"/>
  <c r="K43" i="7"/>
  <c r="L43" i="7" s="1"/>
  <c r="I23" i="7"/>
  <c r="J23" i="7" s="1"/>
  <c r="R36" i="7"/>
  <c r="M38" i="16"/>
  <c r="K42" i="7"/>
  <c r="L42" i="7" s="1"/>
  <c r="K22" i="7"/>
  <c r="L22" i="7" s="1"/>
  <c r="K29" i="7"/>
  <c r="L29" i="7" s="1"/>
  <c r="M33" i="16"/>
  <c r="G33" i="7"/>
  <c r="G45" i="7"/>
  <c r="H45" i="7" s="1"/>
  <c r="K39" i="7"/>
  <c r="I22" i="7"/>
  <c r="J22" i="7" s="1"/>
  <c r="M37" i="16"/>
  <c r="I28" i="7"/>
  <c r="K33" i="7"/>
  <c r="L33" i="7" s="1"/>
  <c r="I45" i="7"/>
  <c r="J45" i="7" s="1"/>
  <c r="G39" i="7"/>
  <c r="O22" i="7"/>
  <c r="P22" i="7" s="1"/>
  <c r="I20" i="7"/>
  <c r="J20" i="7" s="1"/>
  <c r="M42" i="16"/>
  <c r="F11" i="7"/>
  <c r="K36" i="7"/>
  <c r="L36" i="7" s="1"/>
  <c r="I29" i="7"/>
  <c r="J29" i="7" s="1"/>
  <c r="K28" i="7"/>
  <c r="I33" i="7"/>
  <c r="J33" i="7" s="1"/>
  <c r="M45" i="7"/>
  <c r="N45" i="7" s="1"/>
  <c r="R43" i="7"/>
  <c r="M22" i="7"/>
  <c r="N22" i="7" s="1"/>
  <c r="K20" i="7"/>
  <c r="L20" i="7" s="1"/>
  <c r="G31" i="7"/>
  <c r="H31" i="7" s="1"/>
  <c r="E11" i="7"/>
  <c r="Q26" i="7"/>
  <c r="S26" i="7"/>
  <c r="T27" i="7"/>
  <c r="T26" i="7" s="1"/>
  <c r="T51" i="7" s="1"/>
  <c r="J42" i="20" s="1"/>
  <c r="O17" i="7"/>
  <c r="O16" i="7" s="1"/>
  <c r="K17" i="7"/>
  <c r="I17" i="7"/>
  <c r="G17" i="7"/>
  <c r="H17" i="7" s="1"/>
  <c r="H16" i="7" s="1"/>
  <c r="M17" i="7"/>
  <c r="D16" i="7"/>
  <c r="H42" i="7"/>
  <c r="H20" i="7"/>
  <c r="R20" i="7"/>
  <c r="K42" i="20" l="1"/>
  <c r="I41" i="7"/>
  <c r="J41" i="7" s="1"/>
  <c r="Q41" i="7"/>
  <c r="K41" i="7"/>
  <c r="L41" i="7" s="1"/>
  <c r="G41" i="7"/>
  <c r="H41" i="7" s="1"/>
  <c r="O41" i="7"/>
  <c r="P41" i="7" s="1"/>
  <c r="D38" i="7"/>
  <c r="P38" i="7"/>
  <c r="P26" i="7"/>
  <c r="N38" i="7"/>
  <c r="N26" i="7"/>
  <c r="J38" i="7"/>
  <c r="K16" i="7"/>
  <c r="M16" i="7"/>
  <c r="I16" i="7"/>
  <c r="F85" i="9"/>
  <c r="G85" i="9" s="1"/>
  <c r="H85" i="9" s="1"/>
  <c r="E86" i="9"/>
  <c r="F81" i="9"/>
  <c r="G81" i="9" s="1"/>
  <c r="H81" i="9" s="1"/>
  <c r="F83" i="9"/>
  <c r="G83" i="9" s="1"/>
  <c r="H83" i="9" s="1"/>
  <c r="F82" i="9"/>
  <c r="G82" i="9" s="1"/>
  <c r="H82" i="9" s="1"/>
  <c r="E30" i="7"/>
  <c r="E40" i="7"/>
  <c r="E44" i="7"/>
  <c r="E35" i="7"/>
  <c r="H30" i="7"/>
  <c r="Q16" i="7"/>
  <c r="H35" i="7"/>
  <c r="E28" i="7"/>
  <c r="E18" i="7"/>
  <c r="M53" i="16"/>
  <c r="R26" i="7"/>
  <c r="R16" i="7"/>
  <c r="E23" i="7"/>
  <c r="E21" i="7"/>
  <c r="E36" i="7"/>
  <c r="M26" i="7"/>
  <c r="M43" i="16"/>
  <c r="F69" i="9"/>
  <c r="F71" i="9"/>
  <c r="F70" i="9"/>
  <c r="F72" i="9"/>
  <c r="N17" i="7"/>
  <c r="N16" i="7" s="1"/>
  <c r="F73" i="9"/>
  <c r="P17" i="7"/>
  <c r="P16" i="7" s="1"/>
  <c r="K38" i="7"/>
  <c r="E43" i="7"/>
  <c r="E32" i="7"/>
  <c r="E34" i="7"/>
  <c r="E31" i="7"/>
  <c r="E33" i="7"/>
  <c r="L39" i="7"/>
  <c r="L38" i="7" s="1"/>
  <c r="E29" i="7"/>
  <c r="I38" i="7"/>
  <c r="E24" i="7"/>
  <c r="K26" i="7"/>
  <c r="G26" i="7"/>
  <c r="M38" i="7"/>
  <c r="O26" i="7"/>
  <c r="E42" i="7"/>
  <c r="G38" i="7"/>
  <c r="E20" i="7"/>
  <c r="I26" i="7"/>
  <c r="E22" i="7"/>
  <c r="E39" i="7"/>
  <c r="J28" i="7"/>
  <c r="J26" i="7" s="1"/>
  <c r="E45" i="7"/>
  <c r="H33" i="7"/>
  <c r="L28" i="7"/>
  <c r="L26" i="7" s="1"/>
  <c r="H39" i="7"/>
  <c r="H38" i="7" s="1"/>
  <c r="L17" i="7"/>
  <c r="L16" i="7" s="1"/>
  <c r="J57" i="16"/>
  <c r="T53" i="7"/>
  <c r="J61" i="16" s="1"/>
  <c r="J17" i="7"/>
  <c r="J16" i="7" s="1"/>
  <c r="E17" i="7"/>
  <c r="G16" i="7"/>
  <c r="R41" i="7"/>
  <c r="R38" i="7" s="1"/>
  <c r="Q38" i="7"/>
  <c r="E41" i="7" l="1"/>
  <c r="P47" i="7"/>
  <c r="O38" i="7"/>
  <c r="N47" i="7"/>
  <c r="H88" i="9"/>
  <c r="F88" i="9"/>
  <c r="E16" i="7"/>
  <c r="F74" i="9"/>
  <c r="O47" i="7"/>
  <c r="B27" i="9"/>
  <c r="M47" i="7"/>
  <c r="B26" i="9"/>
  <c r="R51" i="7"/>
  <c r="I42" i="20" s="1"/>
  <c r="E38" i="7"/>
  <c r="J47" i="7"/>
  <c r="E26" i="7"/>
  <c r="L47" i="7"/>
  <c r="I57" i="16" l="1"/>
  <c r="H34" i="9"/>
  <c r="N51" i="7" s="1"/>
  <c r="D35" i="9"/>
  <c r="E35" i="9"/>
  <c r="G35" i="9" s="1"/>
  <c r="H35" i="9" s="1"/>
  <c r="P51" i="7" s="1"/>
  <c r="K47" i="7"/>
  <c r="B25" i="9"/>
  <c r="H33" i="9" s="1"/>
  <c r="L51" i="7" s="1"/>
  <c r="I47" i="7"/>
  <c r="B24" i="9"/>
  <c r="D47" i="7" l="1"/>
  <c r="F57" i="16"/>
  <c r="G42" i="20"/>
  <c r="F42" i="20"/>
  <c r="E57" i="16"/>
  <c r="D57" i="16"/>
  <c r="E42" i="20"/>
  <c r="H32" i="9"/>
  <c r="J51" i="7" s="1"/>
  <c r="D31" i="9"/>
  <c r="E31" i="9"/>
  <c r="G31" i="9" l="1"/>
  <c r="H31" i="9" s="1"/>
  <c r="C57" i="16"/>
  <c r="H47" i="7"/>
  <c r="D42" i="20"/>
  <c r="G47" i="7" l="1"/>
  <c r="E47" i="7" s="1"/>
  <c r="H51" i="7"/>
  <c r="C42" i="20" l="1"/>
  <c r="B5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Dietrich, Astrid</author>
  </authors>
  <commentList>
    <comment ref="E17" authorId="0" shapeId="0" xr:uid="{00000000-0006-0000-0400-000001000000}">
      <text>
        <r>
          <rPr>
            <sz val="8"/>
            <color indexed="81"/>
            <rFont val="Tahoma"/>
            <family val="2"/>
          </rPr>
          <t>Stolle, Simone:
Differenz ergibt sich aus Hundertstel VK-Diff. wegen Rundung Personalrelation auf 2 Nachkommastellen - ist nicht zu vermeiden</t>
        </r>
      </text>
    </comment>
  </commentList>
</comments>
</file>

<file path=xl/sharedStrings.xml><?xml version="1.0" encoding="utf-8"?>
<sst xmlns="http://schemas.openxmlformats.org/spreadsheetml/2006/main" count="915" uniqueCount="665">
  <si>
    <t>Allgemeine Angaben</t>
  </si>
  <si>
    <t>Art der Einrichtung:</t>
  </si>
  <si>
    <t>Institutionskennzeichen:</t>
  </si>
  <si>
    <t>Allgemeine Angaben zur Pflegeeinrichtung und zum Träger</t>
  </si>
  <si>
    <t>Name der Einrichtung</t>
  </si>
  <si>
    <t>Straße</t>
  </si>
  <si>
    <t>PLZ, Ort</t>
  </si>
  <si>
    <t>Telefon</t>
  </si>
  <si>
    <t>Fax</t>
  </si>
  <si>
    <t>E-Mail</t>
  </si>
  <si>
    <t>PDL</t>
  </si>
  <si>
    <t>In Trägerschaft von:</t>
  </si>
  <si>
    <t>Name des Trägers</t>
  </si>
  <si>
    <t>Zugehörigkeit zu einer Vereinigung von Trägern von stationären Pflegeeinrichtungen im Land</t>
  </si>
  <si>
    <t>Wenn ja, welche?</t>
  </si>
  <si>
    <t>Hiermit erteilen wir o.g. Vereinigung Verhandlungsmandat</t>
  </si>
  <si>
    <t>Platzzahl der Pflegeeinrichtung entsprechend des Versorgungsvertrages:</t>
  </si>
  <si>
    <t>Pflegeeinrichtungskonzeption Stand:</t>
  </si>
  <si>
    <t>ist als Anlage beigefügt</t>
  </si>
  <si>
    <t>von</t>
  </si>
  <si>
    <t>bis</t>
  </si>
  <si>
    <t>AOK PLUS</t>
  </si>
  <si>
    <t>vdek</t>
  </si>
  <si>
    <t>BKK</t>
  </si>
  <si>
    <t>IKK</t>
  </si>
  <si>
    <t>Knappschaft</t>
  </si>
  <si>
    <t>PKV</t>
  </si>
  <si>
    <t>Sonstige Sozialversicherungsträger</t>
  </si>
  <si>
    <t>jährliche Öffnungstage:</t>
  </si>
  <si>
    <t>Plätze:</t>
  </si>
  <si>
    <t>Wachkoma</t>
  </si>
  <si>
    <t>2.</t>
  </si>
  <si>
    <t>Küche</t>
  </si>
  <si>
    <t>Haustechnik</t>
  </si>
  <si>
    <t>Wäscherei</t>
  </si>
  <si>
    <t>Reinigung</t>
  </si>
  <si>
    <t>Verwaltung</t>
  </si>
  <si>
    <t>2.1</t>
  </si>
  <si>
    <t>Lebensmittel</t>
  </si>
  <si>
    <t>2.2</t>
  </si>
  <si>
    <t>Pflegerischer Bedarf</t>
  </si>
  <si>
    <t>2.3</t>
  </si>
  <si>
    <t>2.4</t>
  </si>
  <si>
    <t>Verwaltungsbedarf</t>
  </si>
  <si>
    <t>2.5</t>
  </si>
  <si>
    <t>Zentrale Verwaltungsdienste</t>
  </si>
  <si>
    <t>2.6</t>
  </si>
  <si>
    <t>Betreuungsaufwand</t>
  </si>
  <si>
    <t>2.7</t>
  </si>
  <si>
    <t>Wirtschaftsbedarf</t>
  </si>
  <si>
    <t>2.8</t>
  </si>
  <si>
    <t>Steuern/Abgaben/Versicherungen</t>
  </si>
  <si>
    <t>2.9</t>
  </si>
  <si>
    <t>Wartung (keine Instandhaltung)</t>
  </si>
  <si>
    <t>2.10</t>
  </si>
  <si>
    <t>sonstige Aufwendungen</t>
  </si>
  <si>
    <t>Divisor:</t>
  </si>
  <si>
    <t>Pflegegrad 1</t>
  </si>
  <si>
    <t>Pflegegrad 2</t>
  </si>
  <si>
    <t>Pflegegrad 3</t>
  </si>
  <si>
    <t>Pflegegrad 4</t>
  </si>
  <si>
    <t>Pflegegrad 5</t>
  </si>
  <si>
    <t>Hauswirtschaft</t>
  </si>
  <si>
    <t>Pflegegrad 1:</t>
  </si>
  <si>
    <t>Pflegegrad 2:</t>
  </si>
  <si>
    <t>Pflegegrad 3:</t>
  </si>
  <si>
    <t>Pflegegrad 4:</t>
  </si>
  <si>
    <t>Pflegegrad 5:</t>
  </si>
  <si>
    <t>Die Richtigkeit der in der Aufforderung enthaltenen Angaben wird bestätigt:</t>
  </si>
  <si>
    <t>Ort, Datum</t>
  </si>
  <si>
    <t>Gesamtkalkulation</t>
  </si>
  <si>
    <t>GELBER TEIL</t>
  </si>
  <si>
    <t>Gesamtplätze:</t>
  </si>
  <si>
    <t>WIRD AUS-</t>
  </si>
  <si>
    <t>Tage/Monat</t>
  </si>
  <si>
    <t>GEBLENDET</t>
  </si>
  <si>
    <t>Leistungsbetrag § 43 SGB XI (nur vollstationär):</t>
  </si>
  <si>
    <t>Aufwendungen für Leistungen im Pflegegrad 1</t>
  </si>
  <si>
    <t>Aufwendungen für Leistungen im Pflegegrad 2</t>
  </si>
  <si>
    <t>Aufwendungen für Leistungen im Pflegegrad 3</t>
  </si>
  <si>
    <t>Aufwendungen für Leistungen im Pflegegrad 4</t>
  </si>
  <si>
    <t>Aufwendungen für Leistungen im Pflegegrad 5</t>
  </si>
  <si>
    <t>Aufwendungen für die Unterkunft</t>
  </si>
  <si>
    <t>Aufwendungen für die Verpflegung</t>
  </si>
  <si>
    <t>Gesamtaufwendungen</t>
  </si>
  <si>
    <t>Plausi Ges.</t>
  </si>
  <si>
    <t>Gesamt in €</t>
  </si>
  <si>
    <t xml:space="preserve">1. </t>
  </si>
  <si>
    <t>1.1.</t>
  </si>
  <si>
    <t>1.2.</t>
  </si>
  <si>
    <t>1.3.</t>
  </si>
  <si>
    <t>1.4.</t>
  </si>
  <si>
    <t>1.5.</t>
  </si>
  <si>
    <t>1.6.</t>
  </si>
  <si>
    <t>1.7.</t>
  </si>
  <si>
    <t>Sachaufwendungen</t>
  </si>
  <si>
    <t xml:space="preserve">3. </t>
  </si>
  <si>
    <t>Fremdleistungen / Trägerleistungen</t>
  </si>
  <si>
    <t>Umsatz Leistungsbeträge § 43 SGB XI:</t>
  </si>
  <si>
    <t xml:space="preserve"> Budget Eigenanteil nach Pflegegraden:</t>
  </si>
  <si>
    <t>errechnete Pflegesätze (Tag je Platz):</t>
  </si>
  <si>
    <t>Unterkunft:</t>
  </si>
  <si>
    <t>Verpflegung:</t>
  </si>
  <si>
    <t xml:space="preserve">   (ohne Ausbildungsvergütung nach § 82a SGB XI)</t>
  </si>
  <si>
    <t>1.8.</t>
  </si>
  <si>
    <t>Stellungnahme der Bewohnervertretung gem. § 85 (3) SGB XI</t>
  </si>
  <si>
    <t>Bewohnervertretung</t>
  </si>
  <si>
    <t>Bewohnerfürsprecher *</t>
  </si>
  <si>
    <t>a)</t>
  </si>
  <si>
    <t xml:space="preserve">Schriftliche Stellungnahme liegt vor </t>
  </si>
  <si>
    <t>Ja</t>
  </si>
  <si>
    <t>weitere Angaben unter c) oder als Anlage erforderlich</t>
  </si>
  <si>
    <t>Nein</t>
  </si>
  <si>
    <t>weitere Angaben unter b) erforderlich</t>
  </si>
  <si>
    <t>b)</t>
  </si>
  <si>
    <t>Begründung für Nichtvorlage der schriftlichen Stellungnahme</t>
  </si>
  <si>
    <t xml:space="preserve">Gelegenheit zur Stellungnahme wurde eingeräumt, </t>
  </si>
  <si>
    <t>Bewohnervertretung oder Bewohnerfürsprecher nicht vorhanden,</t>
  </si>
  <si>
    <t>c)</t>
  </si>
  <si>
    <t>Einbeziehung der Bewohnervertretung / des Bewohnerfürsprechers:</t>
  </si>
  <si>
    <t>Stellungnahme der Bewohnervertretung / des Bewohnerfürsprechers:</t>
  </si>
  <si>
    <t>Unterschrift des Vorsitzenden der Bewohnervertretung</t>
  </si>
  <si>
    <t>oder des Bewohnerfürsprechers</t>
  </si>
  <si>
    <t>Einrichtungsart</t>
  </si>
  <si>
    <t>Kreuz</t>
  </si>
  <si>
    <t>Öffnungstage</t>
  </si>
  <si>
    <t>Auslastung</t>
  </si>
  <si>
    <t>Ja/Nein</t>
  </si>
  <si>
    <t xml:space="preserve">vollstationäre Pflege </t>
  </si>
  <si>
    <t>x</t>
  </si>
  <si>
    <t>ja</t>
  </si>
  <si>
    <t>4. Generation</t>
  </si>
  <si>
    <t>nein</t>
  </si>
  <si>
    <t>teilstationäre Pflege</t>
  </si>
  <si>
    <t>Kurzzeitpflege</t>
  </si>
  <si>
    <t>Pflegeeinrichtung:</t>
  </si>
  <si>
    <t>Einrichtungsleitung</t>
  </si>
  <si>
    <t>Web-Adresse</t>
  </si>
  <si>
    <t>bis:</t>
  </si>
  <si>
    <t>Pflege inklusive QM</t>
  </si>
  <si>
    <t>Betreuung</t>
  </si>
  <si>
    <t>ANT am PS</t>
  </si>
  <si>
    <t>Divisor allg</t>
  </si>
  <si>
    <t>§ 43b:</t>
  </si>
  <si>
    <t>Aufwendungen für § 43b</t>
  </si>
  <si>
    <t>Der vorliegende Antrag auf Abschluss einer neuen Pflegesatzvereinbarung, die zu einer Erhöhung der</t>
  </si>
  <si>
    <t>Entgelte für Pflege, Unterkunft, Verpflegung und des einrichtungseinheitlichen Eigenanteils in vollstationären</t>
  </si>
  <si>
    <t xml:space="preserve">Einrichtungen nach § 43 führen kann, wurde uns vom Einrichtungsträger vorgelegt und erläutert. Die dem   </t>
  </si>
  <si>
    <t xml:space="preserve">Antrag zugrunde liegenden Einzelpositionen, der Umlagemaßstab sowie die Antragsbegründung wurden </t>
  </si>
  <si>
    <t>ausführlich dargestellt und auf die Möglichkeit an der Pflegesatzverhandlung teilzunehmen hingewiesen.</t>
  </si>
  <si>
    <t>(gilt nur für vollstationäre Pflegeeinrichtungen)</t>
  </si>
  <si>
    <t>§ 43b SGB XI:</t>
  </si>
  <si>
    <r>
      <t xml:space="preserve">Aufwendungen für Leistungen im </t>
    </r>
    <r>
      <rPr>
        <b/>
        <sz val="10"/>
        <color theme="1"/>
        <rFont val="Arial"/>
        <family val="2"/>
      </rPr>
      <t>Pflegegrad 1</t>
    </r>
  </si>
  <si>
    <r>
      <t>Aufwendungen für Leistungen im</t>
    </r>
    <r>
      <rPr>
        <b/>
        <sz val="10"/>
        <color theme="1"/>
        <rFont val="Arial"/>
        <family val="2"/>
      </rPr>
      <t xml:space="preserve"> Pflegegrad 2</t>
    </r>
  </si>
  <si>
    <r>
      <t xml:space="preserve">Aufwendungen für Leistungen im </t>
    </r>
    <r>
      <rPr>
        <b/>
        <sz val="10"/>
        <color theme="1"/>
        <rFont val="Arial"/>
        <family val="2"/>
      </rPr>
      <t>Pflegegrad 3</t>
    </r>
  </si>
  <si>
    <r>
      <t xml:space="preserve">Aufwendungen für Leistungen im </t>
    </r>
    <r>
      <rPr>
        <b/>
        <sz val="10"/>
        <color theme="1"/>
        <rFont val="Arial"/>
        <family val="2"/>
      </rPr>
      <t>Pflegegrad 4</t>
    </r>
  </si>
  <si>
    <r>
      <t>Aufwendungen für Leistungen im</t>
    </r>
    <r>
      <rPr>
        <b/>
        <sz val="10"/>
        <color theme="1"/>
        <rFont val="Arial"/>
        <family val="2"/>
      </rPr>
      <t xml:space="preserve"> Pflegegrad 5</t>
    </r>
  </si>
  <si>
    <r>
      <t xml:space="preserve">Aufwendungen für die 
</t>
    </r>
    <r>
      <rPr>
        <b/>
        <sz val="10"/>
        <color theme="1"/>
        <rFont val="Arial"/>
        <family val="2"/>
      </rPr>
      <t>Unterkunft</t>
    </r>
  </si>
  <si>
    <r>
      <t xml:space="preserve">Aufwendungen für die 
</t>
    </r>
    <r>
      <rPr>
        <b/>
        <sz val="10"/>
        <color theme="1"/>
        <rFont val="Arial"/>
        <family val="2"/>
      </rPr>
      <t>Verpflegung</t>
    </r>
  </si>
  <si>
    <r>
      <t xml:space="preserve">Aufwendungen für 
</t>
    </r>
    <r>
      <rPr>
        <b/>
        <sz val="10"/>
        <color theme="1"/>
        <rFont val="Arial"/>
        <family val="2"/>
      </rPr>
      <t>§ 43b</t>
    </r>
  </si>
  <si>
    <t>Pflegekassen</t>
  </si>
  <si>
    <t xml:space="preserve">davon Träger der Sozialhilfe in %   </t>
  </si>
  <si>
    <t xml:space="preserve">Parteien der Pflegesatzvereinbarung (gem. § 85 Abs. 2 SGB XI) </t>
  </si>
  <si>
    <t>Anteil in %</t>
  </si>
  <si>
    <t>kalkulatorischer Auslastungsgrad:</t>
  </si>
  <si>
    <t>* Im Sinne der besseren Lesbarkeit wurde stellvertretend für beide Geschlechtsformen durchgehend nur die männliche Form verwendet.</t>
  </si>
  <si>
    <t>Bewohnervertretung oder Bewohnerfürsprecher haben diese nicht wahrgenommen</t>
  </si>
  <si>
    <t>(schriftliche Mitteilung des Trägers der Einrichtung an die zuständige Behörde beifügen)</t>
  </si>
  <si>
    <t xml:space="preserve">Adressverzeichnis der Parteien der Pflegesatzvereinbarung
gem. § 85 Abs. 2 SGB XI sowie von Vergütungen nach § 75 SGB XII
</t>
  </si>
  <si>
    <t>AOK PLUS - Die Gesundheitskasse für Sachsen und Thüringen</t>
  </si>
  <si>
    <t>Müllerstraße 41</t>
  </si>
  <si>
    <t>09113 Chemnitz</t>
  </si>
  <si>
    <t>IKK classic</t>
  </si>
  <si>
    <t>Postfach 10 02 51</t>
  </si>
  <si>
    <t>01072 Dresden</t>
  </si>
  <si>
    <t xml:space="preserve">Knappschaft </t>
  </si>
  <si>
    <t>Regionaldirektion Chemnitz</t>
  </si>
  <si>
    <t>Jagdschänkenstraße 50</t>
  </si>
  <si>
    <t>09117 Chemnitz</t>
  </si>
  <si>
    <t>Kommunaler Sozialverband Sachsen</t>
  </si>
  <si>
    <t>Arbeitsgemeinschaft Betriebskrankenkassen</t>
  </si>
  <si>
    <t>BKK-Landesverband Mitte</t>
  </si>
  <si>
    <t>Landesrepräsentanz Sachsen</t>
  </si>
  <si>
    <t>Dr.-Külz-Ring 12</t>
  </si>
  <si>
    <t>01219 Dresden</t>
  </si>
  <si>
    <t>Arbeitsgemeinschaft Ersatzkassen</t>
  </si>
  <si>
    <t>Mitglieder</t>
  </si>
  <si>
    <t>vdek - Landesvertretung Sachsen</t>
  </si>
  <si>
    <t>Glacisstr. 4</t>
  </si>
  <si>
    <t>Techniker Krankenkasse (TK)</t>
  </si>
  <si>
    <t>01099 Dresden</t>
  </si>
  <si>
    <t>DAK-Gesundheit</t>
  </si>
  <si>
    <t>Kaufmännische Krankenkasse - KKH</t>
  </si>
  <si>
    <t>Verband der Privaten Kranken-</t>
  </si>
  <si>
    <t>versicherung e.V.</t>
  </si>
  <si>
    <t>Glinkastr. 40</t>
  </si>
  <si>
    <t>10117 Berlin</t>
  </si>
  <si>
    <t>Barmer</t>
  </si>
  <si>
    <t>Handelskrankenkasse (hkk)</t>
  </si>
  <si>
    <t>HEK - Hanseatische Krankenkasse</t>
  </si>
  <si>
    <t>Äquivalenzen</t>
  </si>
  <si>
    <t>PG 1</t>
  </si>
  <si>
    <t>PG 5</t>
  </si>
  <si>
    <t>PG 4</t>
  </si>
  <si>
    <t>PG 3</t>
  </si>
  <si>
    <t>PG 2</t>
  </si>
  <si>
    <t>PG</t>
  </si>
  <si>
    <t>EEA-Divisor</t>
  </si>
  <si>
    <t>a</t>
  </si>
  <si>
    <t>b</t>
  </si>
  <si>
    <t>Faktor tst</t>
  </si>
  <si>
    <t>Leistungbetrag vst</t>
  </si>
  <si>
    <t>e</t>
  </si>
  <si>
    <t>Kennzeichen Einrichtungsart:</t>
  </si>
  <si>
    <t>Personalaufwendungen (ohne 1.3.)</t>
  </si>
  <si>
    <r>
      <t>Freiwillige Dienste, FSJ</t>
    </r>
    <r>
      <rPr>
        <b/>
        <sz val="10"/>
        <color rgb="FFFF0000"/>
        <rFont val="Arial"/>
        <family val="2"/>
      </rPr>
      <t xml:space="preserve"> </t>
    </r>
  </si>
  <si>
    <t>check/Psatz</t>
  </si>
  <si>
    <t>g</t>
  </si>
  <si>
    <t>f = "tst"</t>
  </si>
  <si>
    <t>f = "KZP"</t>
  </si>
  <si>
    <t>Rechnung mit Äquvalenzen (Rothgang bei vst und KZP, Faktor bei tst)</t>
  </si>
  <si>
    <t>Hochrechnung der Pflegesätze bei Nullbelegung fürTP+KZP</t>
  </si>
  <si>
    <t>vst. PE mit Nullbelegung =&gt; Psätze Ermittlung dr. EEE + Leistungsbetrag, Psatz für PG 1 = 0,78 von Psatz PG 2</t>
  </si>
  <si>
    <t>Überlegung:</t>
  </si>
  <si>
    <t>h</t>
  </si>
  <si>
    <t>Faktor KZP</t>
  </si>
  <si>
    <t>"2" = tst, "1" = vst,WK, 4. Generation , "3" = KZP</t>
  </si>
  <si>
    <t>Abstimmung vom 07.08.2017 mit folgender Entscheidung:</t>
  </si>
  <si>
    <t xml:space="preserve"> - die Herleitung der Psätze für tst + KZP analog der Herleitung der PR bei Nichtbelegung</t>
  </si>
  <si>
    <t xml:space="preserve">   führt in einzelnen Fällen nicht zu den gewünschten Ergebnissen (siehe Testergebnisse vom 05.08.2017)</t>
  </si>
  <si>
    <t xml:space="preserve"> =&gt; desh. ist bei KzP und tst. PE der PG 2 bis 4 zwindend zu belegen</t>
  </si>
  <si>
    <t>Erläuterung zur Verformelung:</t>
  </si>
  <si>
    <t xml:space="preserve">                b)bilde den Psatz PG 1 und PG 5 ab, sofern belegt </t>
  </si>
  <si>
    <t xml:space="preserve">                c) ist der PG 1 bzw. PG 5 nicht belegt, dann "0"</t>
  </si>
  <si>
    <t xml:space="preserve">2. (Spalte f "tst" und f "kzp") </t>
  </si>
  <si>
    <t xml:space="preserve">    gilt 1 b) dann wird der kalkulierte Psatz abgebildet</t>
  </si>
  <si>
    <t xml:space="preserve">    gilt 1 c) dann wird anhand der jeweiligen Faktoren "tst" und "kzp" </t>
  </si>
  <si>
    <t xml:space="preserve">                 der Psatz für PG 1 vom Psatz PG 2  hochgerechnet</t>
  </si>
  <si>
    <t xml:space="preserve">                 der Psatz für PG 5 vom Psatz PG 4 hochgerechnet</t>
  </si>
  <si>
    <t>3. (Spalte g)</t>
  </si>
  <si>
    <t xml:space="preserve">     bilde die Psätze PG 1 und PG 5 entsprechend des Einrichtungstyp "tst" o. </t>
  </si>
  <si>
    <t xml:space="preserve">    "KZP" ab</t>
  </si>
  <si>
    <t>4. (Spalte h)</t>
  </si>
  <si>
    <t xml:space="preserve">    bilde alle Psätze entspr. für den einrichtungstyp "tst" oder "Kzp" ab</t>
  </si>
  <si>
    <t>07.08.2017 - Ableitung der Psätze für tst. PE und KZP bei Nullbelegungen</t>
  </si>
  <si>
    <t>1. Check - a) bilde den Psatz für PG 2 - 4 ab, falls Belegung "0" dann LEER</t>
  </si>
  <si>
    <t>errechnete Pflegesätze (Tag je Platz) für angebundene Kurzzeitpflege:</t>
  </si>
  <si>
    <t>2 weitere Zellen eingefügt</t>
  </si>
  <si>
    <t>bedingte Formatierung für Zeile 53 klappte nicht</t>
  </si>
  <si>
    <t>Zeile 53 bedingte Formatierungen</t>
  </si>
  <si>
    <t>dtr Rahmen formatiert</t>
  </si>
  <si>
    <t>Ansprechpartner/ Funktion</t>
  </si>
  <si>
    <t>Stand:13.12.2017 Druckbereich angepasst (einschl. Zeilen 53 und 54)</t>
  </si>
  <si>
    <t>Stand 08.05.2018</t>
  </si>
  <si>
    <t>GB Pflege/Häusliche Krankenpflege</t>
  </si>
  <si>
    <t>Bereich Vertragsmanagement Pflege/HKP</t>
  </si>
  <si>
    <t>Team Vergütung Pflege/HKP</t>
  </si>
  <si>
    <t>Geschäftsbereich Pflege/Häusliche Krankenpflege</t>
  </si>
  <si>
    <t>Humboldtstraße 18</t>
  </si>
  <si>
    <t>04105 Leipzig</t>
  </si>
  <si>
    <t>vereinbarungen-pflege@ksv-sachsen.de</t>
  </si>
  <si>
    <t>Stand 7.6.18</t>
  </si>
  <si>
    <t>Zelle H53 neue Formel: =WENN(Belegung!E26&gt;0;Gesamtkalkulation!H47*0,96/0,9;J53*0,78) STATT BISHER: =WENN('Allgemeine Angaben'!$L$45&gt;0;Gesamtkalkulation!L47*0,96/0,9;"")</t>
  </si>
  <si>
    <t>Nachrichtliche Angaben zum Zeitpunkt der Antragstellung und nicht Gegenstand dieses Antrages</t>
  </si>
  <si>
    <r>
      <t xml:space="preserve">Angebot gesundheitliche Versorgungsplanung in der letzten Lebensphase </t>
    </r>
    <r>
      <rPr>
        <sz val="9"/>
        <color theme="1"/>
        <rFont val="Arial"/>
        <family val="2"/>
      </rPr>
      <t>(§132g SGB V)</t>
    </r>
  </si>
  <si>
    <t>Verhandelte Kostenkalkulation der letzten Pflegesatzvereinbarung</t>
  </si>
  <si>
    <t>vom:</t>
  </si>
  <si>
    <t>Relationen</t>
  </si>
  <si>
    <t>Belegung:</t>
  </si>
  <si>
    <t>Fachkraftquote Pflege:</t>
  </si>
  <si>
    <t>Betreuung:</t>
  </si>
  <si>
    <t>Leitung/Verwaltung:</t>
  </si>
  <si>
    <t>Hauswirtschaft:</t>
  </si>
  <si>
    <t>Küche:</t>
  </si>
  <si>
    <t>Haustechnik:</t>
  </si>
  <si>
    <t>Personalkosten:</t>
  </si>
  <si>
    <t>zusätzliche Betreuung und Aktivierung nach       § 43 b SGB XI:</t>
  </si>
  <si>
    <t>Forderung</t>
  </si>
  <si>
    <t>Pflege gesamt:</t>
  </si>
  <si>
    <t>Funktionsbereich:</t>
  </si>
  <si>
    <t>Steigerungsrate:</t>
  </si>
  <si>
    <t>gesamt:</t>
  </si>
  <si>
    <t>Stellen</t>
  </si>
  <si>
    <t>Personalausstattung:</t>
  </si>
  <si>
    <t>Freiwillige Dienste/FSJ Einsatz:</t>
  </si>
  <si>
    <t>Freiwillige Dienste/ FSJ Einsatz:</t>
  </si>
  <si>
    <t>€/VK / €/Stelle</t>
  </si>
  <si>
    <t>pflegerischer Sachbedarf</t>
  </si>
  <si>
    <t>Wasser, Energie, Brenntstoffe</t>
  </si>
  <si>
    <t>Gesamtsumme:</t>
  </si>
  <si>
    <t>2.1.</t>
  </si>
  <si>
    <t>2.2.</t>
  </si>
  <si>
    <t>2.3.</t>
  </si>
  <si>
    <t>2.4.</t>
  </si>
  <si>
    <t>2.5.</t>
  </si>
  <si>
    <t>2.6.</t>
  </si>
  <si>
    <t>2.7.</t>
  </si>
  <si>
    <t>2.8.</t>
  </si>
  <si>
    <t>2.9.</t>
  </si>
  <si>
    <t>2.10.</t>
  </si>
  <si>
    <t>Fremdleistungen/ Leistungen des Trägers</t>
  </si>
  <si>
    <t>sonstiges</t>
  </si>
  <si>
    <t>3.1.</t>
  </si>
  <si>
    <t>3.2.</t>
  </si>
  <si>
    <t>3.3.</t>
  </si>
  <si>
    <t>3.4.</t>
  </si>
  <si>
    <t>3.5.</t>
  </si>
  <si>
    <t>3.6.</t>
  </si>
  <si>
    <t>3.7.</t>
  </si>
  <si>
    <t>geforderte Pflegesätze:</t>
  </si>
  <si>
    <t>Unterkunft</t>
  </si>
  <si>
    <t>43 b SGB XI</t>
  </si>
  <si>
    <t>Beförderung:</t>
  </si>
  <si>
    <t>Vergütungszuschlag für:</t>
  </si>
  <si>
    <t>Datum</t>
  </si>
  <si>
    <t>Unterschrift</t>
  </si>
  <si>
    <t>Eigenanteil:</t>
  </si>
  <si>
    <t>Laufzeit:</t>
  </si>
  <si>
    <t>27.06.2019:</t>
  </si>
  <si>
    <t>Verknüpfung der Gesamtkalkulation mit dem neuen Tab. Kalkulation</t>
  </si>
  <si>
    <t xml:space="preserve"> - D16 bis D 45 Gesamtaufwendungen werden aus Tab. Kalkulation (geforderten Werte) gezogen</t>
  </si>
  <si>
    <t xml:space="preserve"> - Formeln in Zelle G17;I17;K17;M17;o17 angepasst mit Bezug zu Tab Kalkualtion</t>
  </si>
  <si>
    <t>Zelle J6 =&gt; Formel angepasst, Bezug jetzt zu Tab. Kalkulation</t>
  </si>
  <si>
    <t>Zelle L6 =&gt; Formel angepasst, Bezug jetzt zu Tab. Kalkulation</t>
  </si>
  <si>
    <t>Zelle N6 =&gt; Formel angepasst bisher Bezug zu Divisor?, jetzt Platzzahl * Tage * Auslastung</t>
  </si>
  <si>
    <t>Formeln in Zellen I,K;M,O,R 28-36 + 39-45 und D27 angepasst, bisher mit Divisor gerechnet jetzt Bezug $N$6</t>
  </si>
  <si>
    <t>aus Spalte A wohnpflegeheim entfernt</t>
  </si>
  <si>
    <t xml:space="preserve"> =WENN(Belegung!E26=0;RUNDEN(Gesamtkalkulation!J51*0,78;2);RUNDEN((Gesamtkalkulation!H16+Gesamtkalkulation!H26+Gesamtkalkulation!H38);2))</t>
  </si>
  <si>
    <t>H47 bisher</t>
  </si>
  <si>
    <t>H47 neu</t>
  </si>
  <si>
    <t xml:space="preserve">  =WENN(Kalkulation!H14=0;RUNDEN(Gesamtkalkulation!J51*0,78;2);RUNDEN((Gesamtkalkulation!H16+Gesamtkalkulation!H26+Gesamtkalkulation!H38);2))</t>
  </si>
  <si>
    <t xml:space="preserve">01.07.2019: </t>
  </si>
  <si>
    <t>eingefügt Tabellen aus bisherigen Tab Forderung in Zelle A20 bis P56</t>
  </si>
  <si>
    <t>01.07.2019/ Formel in Zelle J51/L51/N51/P51 mit Bezug zu Tab KAT angepasst</t>
  </si>
  <si>
    <t>zusätzliche Betreuung und Aktivierung</t>
  </si>
  <si>
    <t>Leitung/ Verwaltung</t>
  </si>
  <si>
    <t>Wasser/ Energie/ Brennstoffe</t>
  </si>
  <si>
    <t>Steuern/ Abgaben/ Versicherungen</t>
  </si>
  <si>
    <r>
      <rPr>
        <sz val="10"/>
        <color theme="1"/>
        <rFont val="Arial"/>
        <family val="2"/>
      </rPr>
      <t>Wartung</t>
    </r>
    <r>
      <rPr>
        <sz val="9"/>
        <color theme="1"/>
        <rFont val="Arial"/>
        <family val="2"/>
      </rPr>
      <t xml:space="preserve"> (keine Instandhaltung)</t>
    </r>
  </si>
  <si>
    <t>sonstige Aufwendugnen</t>
  </si>
  <si>
    <t>Küche (ohne Pkt. 2.1)</t>
  </si>
  <si>
    <t>VK-Umfang für der PDL/stellv. PDL entsprechend RVT</t>
  </si>
  <si>
    <t>Plätze von</t>
  </si>
  <si>
    <t>Plätze bis</t>
  </si>
  <si>
    <t>VK</t>
  </si>
  <si>
    <t>VK PDL für PE</t>
  </si>
  <si>
    <t xml:space="preserve"> &lt; 151</t>
  </si>
  <si>
    <t>PDL/stellv. PDL</t>
  </si>
  <si>
    <t>TAB Berechnung VK-Umfang PDL/stellv. PDL eingefügt = Ergebnis mit TAB Kat verknüpft</t>
  </si>
  <si>
    <t>Belegung</t>
  </si>
  <si>
    <t>PR</t>
  </si>
  <si>
    <t>VK nach PR</t>
  </si>
  <si>
    <t>% Ansatz für Verteilung Pkosten Pflege</t>
  </si>
  <si>
    <t>PK-Pflege</t>
  </si>
  <si>
    <t>Summe:</t>
  </si>
  <si>
    <t>PDL lt. TAB Personalaufw.</t>
  </si>
  <si>
    <t>Gesamt VK Pflege inkl PDL/stellv.</t>
  </si>
  <si>
    <t>Zellen: G17;I17;K17;M17;O17 erweiter um Wennfunktion, sofern vst. Einrichtung Verteilung der PK Pflege nach prozentualer Verteilung des PersonalsPflege siehe TAB Kat, ansonsten erfolgt die Verteilung mit Hilfe von PR</t>
  </si>
  <si>
    <t>Wäschekennzeichnung</t>
  </si>
  <si>
    <t>13.11.2019/ Zelle B41 bis C41 bedingt formatiert, Anzeige "3.3.Wäschekennzeichnung" nur bei vst. PE</t>
  </si>
  <si>
    <t>13.11.2019/ in H53; J53;L53;N53;953, R53, T53 und V53 bestehende Formeln um Funktions Wennfehler( …….;0) ergänzt</t>
  </si>
  <si>
    <t>13.11.2019/ Spalte D26:D36; D38:D45; D47; D16:D24 grau formatiert, Schrift schwarz, Zwischensumme: D38;D26 undD16 Schrift fett</t>
  </si>
  <si>
    <t>13.11.2019/ D16:D17  Formeln um Wenffehler-funktion ergänzt, damit keine 0 Werte stehen bei leeren Antrag</t>
  </si>
  <si>
    <t>13.11.2019:bisher wurden bei einem leeren Antrag in Zellen D16 bis D23 Nullwerte angezeigt, Korrektur durch eine Wennfunktion,</t>
  </si>
  <si>
    <t xml:space="preserve">  13.11.2019 Formel von C53 in B53 verschoben =WENN('Allgemeine Angaben'!L45&gt;0;"errechnete Pflegesätze (Tag je Platz) für angebundene Kurzzeitpflege:";"")</t>
  </si>
  <si>
    <t>Kalkulation</t>
  </si>
  <si>
    <t>05.12.2019 Veränderung vom 13.11.2019 in Formeln D16 bis D23 aufgehoben, Anzeige Nullwert, da excel mit "Wert" nicht rechnen kann</t>
  </si>
  <si>
    <t>vollstationäre Pflegeeinrichtung</t>
  </si>
  <si>
    <t>angebundene Kurzzeitpflege</t>
  </si>
  <si>
    <t>Probe</t>
  </si>
  <si>
    <t>Relation ohne PDL/stellv. PDL</t>
  </si>
  <si>
    <t>Personalumfang</t>
  </si>
  <si>
    <t>proz. Verteilung Personalumfang nach Relation</t>
  </si>
  <si>
    <t>Relation inklusive PDL/stellv. PDL</t>
  </si>
  <si>
    <t xml:space="preserve">  PDL/stellv. PDL:</t>
  </si>
  <si>
    <t>Gesamt:</t>
  </si>
  <si>
    <t>Umrechnung der Personalrelation Pflege vst. exkl. PDL/stellv. PDL für die angebundene KZP Relation Pflege inklusive PDL/stellv. PDL</t>
  </si>
  <si>
    <t>1.</t>
  </si>
  <si>
    <t>3.</t>
  </si>
  <si>
    <t>4.</t>
  </si>
  <si>
    <t>5.</t>
  </si>
  <si>
    <t>6.</t>
  </si>
  <si>
    <t xml:space="preserve">Das Recht der Kostenträger auf Führung einer Einzelverhandlung und zur Vorlage von Kostenkalkulationen bleibt unbenommen.                      </t>
  </si>
  <si>
    <t>Hinweise zum vereinfachten Antragsverfahren §§ 84, 85 SGB XI</t>
  </si>
  <si>
    <t>7.</t>
  </si>
  <si>
    <t>8.</t>
  </si>
  <si>
    <t xml:space="preserve">Es ist zu beachten, dass in allen geeinten Kostenpositionen bereits das Unternehmerrisiko und die Personalnebenkosten enthalten sind. </t>
  </si>
  <si>
    <t xml:space="preserve">Es handelt sich um ein einmaliges Verfahren ohne präjudizierende Wirkung. </t>
  </si>
  <si>
    <t xml:space="preserve">Der Träger versichert, dass den MitarbeiterInnen im Vereinbarungszeitraum die festgesetzten Steigerungen nach dem jeweils geltenen Tarifvertrag ausgezahlt werden. Auf Verlangen einer Vertragspartei hat der Träger der Einrichtung die entsprechende Umsetzung der Steigerung der Entgelte der Beschäftigten nachzuweisen.  </t>
  </si>
  <si>
    <t>Voraussetzungen:</t>
  </si>
  <si>
    <t>letzter Vereinbarungszeitraum:</t>
  </si>
  <si>
    <t>Antrag vom:</t>
  </si>
  <si>
    <t>Wohnpflegeheim</t>
  </si>
  <si>
    <t>Tabellenblatt</t>
  </si>
  <si>
    <t>Inhalt</t>
  </si>
  <si>
    <t>Anpassung</t>
  </si>
  <si>
    <t>Hinweise</t>
  </si>
  <si>
    <t xml:space="preserve"> -</t>
  </si>
  <si>
    <r>
      <t xml:space="preserve">ihre aktuelle Vergütungsvereinbarung abgelaufen ist </t>
    </r>
    <r>
      <rPr>
        <u/>
        <sz val="9"/>
        <color theme="1"/>
        <rFont val="Arial"/>
        <family val="2"/>
      </rPr>
      <t>und</t>
    </r>
  </si>
  <si>
    <t>Die Laufzeit umfasst grundsätzlich 12 Kalendermonate.</t>
  </si>
  <si>
    <t>Für vollstationäre Einrichtungen liegt die Stellungnahme der Bewohnervertretung vor.</t>
  </si>
  <si>
    <t>Auslastungsgrad IST:</t>
  </si>
  <si>
    <t>Zulassungsdatum der Pflegeeinrichtung:</t>
  </si>
  <si>
    <t>Ausbildungsbetrieb und/oder Praktikumsbetrieb nach dem Pflegeberufegesetz</t>
  </si>
  <si>
    <t>D6</t>
  </si>
  <si>
    <t>Belegungstage - letzten</t>
  </si>
  <si>
    <t>Hinweise für Anwender bzw. erledigt am:</t>
  </si>
  <si>
    <t>Datum der 
Änderung</t>
  </si>
  <si>
    <t>N16</t>
  </si>
  <si>
    <t>Form der Kurzzeitpflege:</t>
  </si>
  <si>
    <t>solitär</t>
  </si>
  <si>
    <t>angebunden</t>
  </si>
  <si>
    <t>Steigerungsraten</t>
  </si>
  <si>
    <t>Personalkosten</t>
  </si>
  <si>
    <t>Fremdleistung</t>
  </si>
  <si>
    <t>max</t>
  </si>
  <si>
    <t>L20</t>
  </si>
  <si>
    <t>L16</t>
  </si>
  <si>
    <t>geforderte Pflegesätze für die angebundene / integrierte Kurzzeitpflege (KZP):</t>
  </si>
  <si>
    <t>Vergütungszuschlag für angebundene / integrierte KZP:</t>
  </si>
  <si>
    <t>Belegung für angebundene / integrierte KZP:</t>
  </si>
  <si>
    <t>B22:D22</t>
  </si>
  <si>
    <t>bedingte Formatierung angepasst für die Erkennung von Fehlerfassungen</t>
  </si>
  <si>
    <t>die Angabe des Stellenumfang der PDL/stv. PDL ist ein Erfassungsfeld für vst. PE, damit Fehleintragungen dr. KZP + TP in diesem Feld besser sichtbar sind, wurde die Schriftfarbe bei derbedingten Formatierung angepasst</t>
  </si>
  <si>
    <t>H22:J22</t>
  </si>
  <si>
    <t>keine Anpassung der bedingten Formatierung</t>
  </si>
  <si>
    <t>für die Berücksichtigung der Pkosten in der Pflege gibt es in der Zelle eine J23 eine PlausiFormel, die den VK Anteil für PDL/stv. nur bei vst. PE berücksichtigt</t>
  </si>
  <si>
    <t>ab Zeile 69</t>
  </si>
  <si>
    <t>Angaben zu Investkosten gelöscht analog anderen Antragsvarianten</t>
  </si>
  <si>
    <t>Auswahl nur KZP und TP (siehe Abstimmung vom 02.08.2023), Text Datenübertragung angepasst</t>
  </si>
  <si>
    <t>vorher:</t>
  </si>
  <si>
    <t xml:space="preserve">der Träger für die Bezahlung der Mitarbeiter an einen Tarifvertrag oder an kirchliche Arbeitsrechtsregelungen                                        gebunden ist </t>
  </si>
  <si>
    <t xml:space="preserve"> - </t>
  </si>
  <si>
    <t>bzw.</t>
  </si>
  <si>
    <t>Welcher Tarif / AVR:</t>
  </si>
  <si>
    <t>unmittelbare Bindung Tarif / AVR:</t>
  </si>
  <si>
    <t>Fassung vom:</t>
  </si>
  <si>
    <t>neue Zeile in 56-58 eingefügt</t>
  </si>
  <si>
    <t>B56</t>
  </si>
  <si>
    <t>H56</t>
  </si>
  <si>
    <t>neu: unmittelbare Bindung Tarif / AVR:</t>
  </si>
  <si>
    <t>B57</t>
  </si>
  <si>
    <t>H57</t>
  </si>
  <si>
    <t>Erfassungsfeld für LE</t>
  </si>
  <si>
    <t>B58</t>
  </si>
  <si>
    <t>neu: Fassung vom:</t>
  </si>
  <si>
    <t>H58</t>
  </si>
  <si>
    <t>Differenzierung Träger ob TV-Binder oder Anwender</t>
  </si>
  <si>
    <t>neu: Dropdownfeld ja nein eingefügt</t>
  </si>
  <si>
    <t>K56</t>
  </si>
  <si>
    <t>Plausi-Neu:  =WENN(UND(H56="";H52="");"Bitte Angaben zur Bindung Tarif / AVR vornehmen.";"")</t>
  </si>
  <si>
    <t>K58</t>
  </si>
  <si>
    <t>Plausi-Neu:  =WENN(H57="";"Bitte Angaben zum Tarif / AVR vornehmen.";"")</t>
  </si>
  <si>
    <t>Wenn(und funktioniert nicht richtig mit neuem Microsoftprogramm somit zusätzl. Formel in K58</t>
  </si>
  <si>
    <t>Text ergänzt für Tarifanwender</t>
  </si>
  <si>
    <t xml:space="preserve">der Träger für die Bezahlung der Mitarbeiter an einen Tarifvertrag oder an kirchliche Arbeitsrechtsregelungen gebunden ist </t>
  </si>
  <si>
    <t>bisheriger Punkt 3 gestrichen: Für vollstationäre Einrichtungen gelten die Regelungen des vollstationären Rahmenvertrages zur Personalausstattung entsprechend</t>
  </si>
  <si>
    <t>der Träger für die Bezahlung der Mitarbeiter einen Tarifvertrag oder eine kirchliche Arbeitsrechtsregelung anwendet (Der Träger wendet den Tarifvertrag oder kirchliche Arbeitsregelungen an ohne selbst Tarifpartei zu sein und  die letzte Vergütungsverhandlung abweichend zu nachfolgenden Regelungen auf Basis eines Vollantrages und keinem vereinfachten, pauschalen Verfahren erfolgte)</t>
  </si>
  <si>
    <t>neue Nummerierung durch Streichung bisherigen Pkt. 3</t>
  </si>
  <si>
    <t>Antrag soll nun doch lt. PSK vom 31.08.2023 nur für Tarifbinder gelten</t>
  </si>
  <si>
    <t>deshalb Streichung des folgenden Textes: bzw. "der Träger für die Bezahlung der Mitarbeiter einen Tarifvertrag oder eine kirchliche Arbeitsrechtsregelung anwendet ohne selbst Tarifpartei zu sein und die letzte Vergütungsverhandlung abweichend zu den nachfolgenden Regelungen auf Basis eines Vollantrages und keinem vereinfachten, pauschalen Verfahren erfolgte"</t>
  </si>
  <si>
    <t xml:space="preserve">Dieses Verfahren kann von zugelassenen Pflegeeinrichtungen (Tagespflegen, solitären wie angebundenen Kurzzeitpflegen) nur dann in Anspruch genommen werden, wenn </t>
  </si>
  <si>
    <t>keine Auswahl zw. Tarifbindung mittelbar und unmittelbar, Antrag nur für Tarifbinder</t>
  </si>
  <si>
    <t>Plausi in K56 gelöscht (bisher: =WENN(UND(H56="";H52="");"Bitte Angaben zur Bindung Tarif / AVR vornehmen.";""))</t>
  </si>
  <si>
    <t>Plausifeld in K56 nicht notw.</t>
  </si>
  <si>
    <t>Formeln und Felder in H57, H58 und K57 bleiben</t>
  </si>
  <si>
    <r>
      <t xml:space="preserve">innerhalb der letzten 3 Jahre grundsätzlich </t>
    </r>
    <r>
      <rPr>
        <sz val="9"/>
        <color theme="1"/>
        <rFont val="Arial"/>
        <family val="2"/>
      </rPr>
      <t>eine Einzelverhandlung durchgeführt worden ist.</t>
    </r>
  </si>
  <si>
    <t xml:space="preserve"> und</t>
  </si>
  <si>
    <t>H56 Dropdown-Feld gelöscht und mit ja angegeben + kein Erfassung /Hinweistext</t>
  </si>
  <si>
    <t>zusätzliche Betreuung und Aktivierung nach                § 43 b SGB XI:</t>
  </si>
  <si>
    <r>
      <t>Dieses Verfahren kann von zugelassenen Pflegeeinrichtungen (</t>
    </r>
    <r>
      <rPr>
        <sz val="10"/>
        <color rgb="FFFF0000"/>
        <rFont val="Arial"/>
        <family val="2"/>
      </rPr>
      <t>Tagespflegen, Kurzzeitpflegen solitär wie angebundene)</t>
    </r>
    <r>
      <rPr>
        <sz val="10"/>
        <rFont val="Arial"/>
        <family val="2"/>
      </rPr>
      <t xml:space="preserve"> nur dann in Anspruch genommen werden, wenn </t>
    </r>
  </si>
  <si>
    <t>Stellungnahme Heimbeirat noch beibehalten wg. KZP</t>
  </si>
  <si>
    <t>sonstige Stellen</t>
  </si>
  <si>
    <t>Benennung der Version als B3 (Gegenstück für B1 für tarifungebundene LE) - Hinweise bleiben vorerst so</t>
  </si>
  <si>
    <t>B3_Kalkulation</t>
  </si>
  <si>
    <t>B3_Allgemeine Angaben</t>
  </si>
  <si>
    <t>Überschrift angepasst</t>
  </si>
  <si>
    <t>bisher: vereinfachtes .... Verfahren neu: analog der B1,B2 + B3 Variante</t>
  </si>
  <si>
    <t xml:space="preserve">B48 </t>
  </si>
  <si>
    <t>Inhalt entfernt (Text bisher: Platzzahl der angebundenen / integrierten Kurzzeitpflege lt. Versorgungsvertrag)</t>
  </si>
  <si>
    <t>L48</t>
  </si>
  <si>
    <t>Erfassungsfeld gelöscht</t>
  </si>
  <si>
    <t>B3 können nur TP + KZP nutzen, desh. Angaben zu eingestreuten/ integrierten KZP unnötig</t>
  </si>
  <si>
    <t xml:space="preserve"> dito</t>
  </si>
  <si>
    <t>Zeile 56 : 58 neu eingefügt</t>
  </si>
  <si>
    <t>Angaben zur Tarifbindung, Tarif und Fassung vom</t>
  </si>
  <si>
    <t>K19</t>
  </si>
  <si>
    <t>K20</t>
  </si>
  <si>
    <t>Text neu: "Personalkosten:"</t>
  </si>
  <si>
    <t>Text "Personalkosten:" verschoben in K20</t>
  </si>
  <si>
    <t>M20</t>
  </si>
  <si>
    <t>Text neu: Steigerungsrate</t>
  </si>
  <si>
    <t>Text + bedingte Formatierung gelöscht: Relationen  angebundene / integrierte KZP</t>
  </si>
  <si>
    <t>N16:N20</t>
  </si>
  <si>
    <t>Inhalt und bedingte Formatierung für angebundene KZP gelöscht</t>
  </si>
  <si>
    <t>N22:N30</t>
  </si>
  <si>
    <t>dito</t>
  </si>
  <si>
    <t>Erfassungsfeld gelöscht für % pauschal für alle Funktionsbereiche</t>
  </si>
  <si>
    <t xml:space="preserve">in Höhe von: </t>
  </si>
  <si>
    <t>Begründungen für:</t>
  </si>
  <si>
    <t xml:space="preserve"> - die veränderte Personalausstattung -</t>
  </si>
  <si>
    <t xml:space="preserve"> - die Personalkostensteigerungen -</t>
  </si>
  <si>
    <t xml:space="preserve"> - die Sachkostensteigerungen -</t>
  </si>
  <si>
    <t xml:space="preserve"> - die Fremdleistungen -</t>
  </si>
  <si>
    <t>ERGEBNIS</t>
  </si>
  <si>
    <t>Entlohnung nach:</t>
  </si>
  <si>
    <t>unmittelbare Bindung Tarif/AVR</t>
  </si>
  <si>
    <t>Trägerdaten:</t>
  </si>
  <si>
    <t>Ein.-Art</t>
  </si>
  <si>
    <t>Telefon:</t>
  </si>
  <si>
    <t>Fax:</t>
  </si>
  <si>
    <t>E-Mail:</t>
  </si>
  <si>
    <t>Institutionskennzeichen (IK):</t>
  </si>
  <si>
    <t>Vereinbarungszeitraum (prospektiv):</t>
  </si>
  <si>
    <t>von:</t>
  </si>
  <si>
    <t>Belegung je Pflegegrad:</t>
  </si>
  <si>
    <t>I</t>
  </si>
  <si>
    <t>II</t>
  </si>
  <si>
    <t>III</t>
  </si>
  <si>
    <t>IV</t>
  </si>
  <si>
    <t>V</t>
  </si>
  <si>
    <t>Einrichtung:</t>
  </si>
  <si>
    <t>Personalrelation Pflege:</t>
  </si>
  <si>
    <t>Pflegegrad:</t>
  </si>
  <si>
    <t>Fachkraftquote</t>
  </si>
  <si>
    <t>Personalrelationen außerhalb der Pflege:</t>
  </si>
  <si>
    <t>Leitung/Ver-waltung</t>
  </si>
  <si>
    <t>zusätzliche Betreuung § 43b SGB XI</t>
  </si>
  <si>
    <t>FSJ/BFD Anzahl Stellen</t>
  </si>
  <si>
    <t>Personalaufwendungen:</t>
  </si>
  <si>
    <t>Pflege</t>
  </si>
  <si>
    <t>Sachaufwendungen:</t>
  </si>
  <si>
    <t>Fremdleistungen:</t>
  </si>
  <si>
    <t>Wäsche-             kennzeichnung</t>
  </si>
  <si>
    <t>Verpflegung</t>
  </si>
  <si>
    <t>§ 43b SGB XI</t>
  </si>
  <si>
    <t>Fahrtkosten</t>
  </si>
  <si>
    <t>Die Richtigkeit der Angaben wird bestätigt:</t>
  </si>
  <si>
    <t>Vergütungszuschläge für</t>
  </si>
  <si>
    <t>Pflegesätze</t>
  </si>
  <si>
    <t>handelnd für alle Kostenträger (Datum, Unterschrift)</t>
  </si>
  <si>
    <t>M16, M23:M30; M32; M45</t>
  </si>
  <si>
    <t>neu: Erfassungsfelder für Steigerungsraten, Begrenzung Erfassung mit Datenübertragung, Personalkosten + 10% sonstige Mitarbeiter + 5%, Sachkosten bis max. 7,5% und Fremdleistung bis max. 9,1%</t>
  </si>
  <si>
    <t>Verschiebung Erfassungsfeld für % - Anpassung Formel notw.</t>
  </si>
  <si>
    <t>L17</t>
  </si>
  <si>
    <t>Hinweisfeld eingefügt - Fahrtkosten bis max. 17,90 € vereinbar</t>
  </si>
  <si>
    <t>M15; M20</t>
  </si>
  <si>
    <t>Überschrift Steigerungsrate neu</t>
  </si>
  <si>
    <t>M21:N22</t>
  </si>
  <si>
    <t>L16;L23:L30;L33:L43;L46:L53</t>
  </si>
  <si>
    <t>durch Verschiebung Erfassungsfeld für Steigerungsrate - Anpassung der Formeln notw.</t>
  </si>
  <si>
    <t>L33:L43;L46:L53</t>
  </si>
  <si>
    <t xml:space="preserve">Abbildung €/Tag </t>
  </si>
  <si>
    <t>O15:R53</t>
  </si>
  <si>
    <t>neu: Begründungsfelder für Personalveränderung, Personalkosten und Sachkosten wie Fremdleistungen</t>
  </si>
  <si>
    <t>B3_Ergebnis</t>
  </si>
  <si>
    <t>Erfassungsfelder für IAP, Zelle N22 bedingt formatiert- erfassbar nur sofern N21 ja, begrenzt auf 3000 €/VK</t>
  </si>
  <si>
    <t>neues Tabellenblatt: analog Antrag B4 erstellt</t>
  </si>
  <si>
    <t>18./19.12.2023</t>
  </si>
  <si>
    <t>I6 + D6</t>
  </si>
  <si>
    <t>Datenübertragung Text für vst. Einrichtungen gelöscht</t>
  </si>
  <si>
    <t>Adressverzeichnis der Pflegesatzvereinbarung</t>
  </si>
  <si>
    <t>gem. § 85 Abs. 2 SGB XI sowie von Vergütungen nach § 75 SGB SGB XIII</t>
  </si>
  <si>
    <t>Bereich Pflegepartner</t>
  </si>
  <si>
    <t>Fachbereich Vertragsmanagement Pflege / HKP</t>
  </si>
  <si>
    <t>Team Verhandlung Pflege / HKP</t>
  </si>
  <si>
    <t xml:space="preserve">Müllerstraße 41 </t>
  </si>
  <si>
    <t>pflegesatzvereinbarungen_sachsen@plus.aok.de</t>
  </si>
  <si>
    <t>Knappschat</t>
  </si>
  <si>
    <t>Kommunalter Sozialverband Sachsen</t>
  </si>
  <si>
    <t>Humboldstraße 18</t>
  </si>
  <si>
    <t>Glacisstraße 4</t>
  </si>
  <si>
    <t>Heidestraße 40</t>
  </si>
  <si>
    <t>010557 Berlin</t>
  </si>
  <si>
    <t>BKK-Landesvertretung Mitte</t>
  </si>
  <si>
    <t xml:space="preserve">01219 Dresden </t>
  </si>
  <si>
    <t>Adressen</t>
  </si>
  <si>
    <t>angepasst</t>
  </si>
  <si>
    <t>Vereinbarungszeitraum prospektiv:</t>
  </si>
  <si>
    <t>Altes Adressblatt läßt sich nicht mehr entsperren</t>
  </si>
  <si>
    <t>F52</t>
  </si>
  <si>
    <t>F16</t>
  </si>
  <si>
    <t>Zellschutz raus</t>
  </si>
  <si>
    <t>Zeile 47,48</t>
  </si>
  <si>
    <t>Gitternetzlinien raus</t>
  </si>
  <si>
    <t>Erläuterung der Änderungen gegenüber der Vorversion (Änderungshistorie zu B1) nach dem 12.06.2023</t>
  </si>
  <si>
    <t>€/Tag</t>
  </si>
  <si>
    <t>B3_Gesamtkalkulation</t>
  </si>
  <si>
    <t>H15;J15;L15;N15;P15;R15;V15</t>
  </si>
  <si>
    <t>Text korrigiert, €/Tag anstelle Tag / €</t>
  </si>
  <si>
    <t>Beförderung intern (Preis):</t>
  </si>
  <si>
    <t>Beförderung extern (Preis):</t>
  </si>
  <si>
    <t>Bitte auswählen.</t>
  </si>
  <si>
    <t>max 2025</t>
  </si>
  <si>
    <t>max bis 2024</t>
  </si>
  <si>
    <t>PSK</t>
  </si>
  <si>
    <t>Prüf-KZ</t>
  </si>
  <si>
    <t>Steig. lt. Ford.</t>
  </si>
  <si>
    <t>Begrenzung auf Max</t>
  </si>
  <si>
    <t>Ford. &lt; als Max.Wert</t>
  </si>
  <si>
    <t>Text für Plausifeld B3_Kalk in L20</t>
  </si>
  <si>
    <t>Erläuterung</t>
  </si>
  <si>
    <t>Berechnungsfeld für Fahrtkostensteigerung in B3_Kalkulation K16 + Plausifeld in L17</t>
  </si>
  <si>
    <t>Kat</t>
  </si>
  <si>
    <t>A94:B94</t>
  </si>
  <si>
    <t>Steig.rate sonstige Stellen</t>
  </si>
  <si>
    <t>A95:B97</t>
  </si>
  <si>
    <t>Auswahlmöglichkeiten und max. Steigerungswerte für Fahrtkosten lt. PSK 07.11.2024</t>
  </si>
  <si>
    <t>K16</t>
  </si>
  <si>
    <t>Beförderung bis max. 18,50 € vereinbar.</t>
  </si>
  <si>
    <t>Beförderung bis max. 21,00 € vereinbar.</t>
  </si>
  <si>
    <t>Beförderung extern (Preis): = 2 (Prüf-KZ)</t>
  </si>
  <si>
    <t>Beförderung intern (Preis): = 1 (Prüf-KZ)</t>
  </si>
  <si>
    <t xml:space="preserve">Ergebnis - wenn KZ = 1, dann max. 18,50€, wenn KZ = 2, dann 21,00 € </t>
  </si>
  <si>
    <t>Formel neu: =WENN(M16&lt;&gt;0;KAT!L94;"")</t>
  </si>
  <si>
    <t>Formel neu =WENN(M16&lt;&gt;0;KAT!N94;"")</t>
  </si>
  <si>
    <t>J90:Q96</t>
  </si>
  <si>
    <t>Hilfstabelle für Berechnung max. Werte Fahrtkosten und Plausitext in L17 + L16</t>
  </si>
  <si>
    <t>B92:B96</t>
  </si>
  <si>
    <t>max. Steigerungsraten/werte - SK 3,5%, FL 5%, interne Beförderung 18,50€, externe Beförderung 21 €</t>
  </si>
  <si>
    <t>M21</t>
  </si>
  <si>
    <t>Datenübertragung;Liste;KAT!A95:KAT!B97, Schutz raus</t>
  </si>
  <si>
    <t>M21:M20</t>
  </si>
  <si>
    <t>verbunden; Text: Steigerungsrate</t>
  </si>
  <si>
    <t>N21</t>
  </si>
  <si>
    <t>N21:N22</t>
  </si>
  <si>
    <t>keine Erfassungsfelder mehr, Schutz</t>
  </si>
  <si>
    <t>Datenübertragung, Liste ja;nein gelöscht - neu jeder Wert</t>
  </si>
  <si>
    <t>M32</t>
  </si>
  <si>
    <t>M45</t>
  </si>
  <si>
    <t>Datenübertragung angepasst- Fehlermeldung .....(5,00%).</t>
  </si>
  <si>
    <t>Datenübertragung angepasst- Fehlermeldung .....(3,50%).</t>
  </si>
  <si>
    <t>B47:L48</t>
  </si>
  <si>
    <t>Textund bedingte Formatierung zur Inflationsausgleichsprämie gelöscht</t>
  </si>
  <si>
    <t>verguetung-pflege.sac@vdek.com</t>
  </si>
  <si>
    <t>BARMER</t>
  </si>
  <si>
    <t>Landesvertretung Sachsen</t>
  </si>
  <si>
    <t>Postfach 12 03 65</t>
  </si>
  <si>
    <t>01004 Dresden</t>
  </si>
  <si>
    <t>peter.hoeher@barmer.de</t>
  </si>
  <si>
    <t>andre.kaden@barmer.de</t>
  </si>
  <si>
    <t>alexander.bretschneider@barmer.de</t>
  </si>
  <si>
    <t>Adressverzeichnis</t>
  </si>
  <si>
    <t>M15:M16</t>
  </si>
  <si>
    <t>bedingt formatiert, sofern keine TP, dann weiße Farbe, weiße Schrift</t>
  </si>
  <si>
    <t>N15:N16</t>
  </si>
  <si>
    <t>blau für KZ- bedingte Formatierung</t>
  </si>
  <si>
    <t xml:space="preserve"> =KAT!L94</t>
  </si>
  <si>
    <t>B3_Kat</t>
  </si>
  <si>
    <t>Hinweisfelder</t>
  </si>
  <si>
    <t>Hinweis-/Fehlerfelder werden blau (="ja") bzw. weiß (="nein") angezeigt.</t>
  </si>
  <si>
    <t>L56</t>
  </si>
  <si>
    <t xml:space="preserve"> Text: Beförderung: mit Formel ersetzt; =WENN(KAT!J94=1;"Fahrtkosten - Beförderung intern";"Fahrtkosten - Beförderung extern")</t>
  </si>
  <si>
    <t>gehe weiter zu B3_Kalkulation</t>
  </si>
  <si>
    <t>gehe weiter zu B3_Bewohnervertretung</t>
  </si>
  <si>
    <t>gehe weiter zu B3_Gesamtkalkulation</t>
  </si>
  <si>
    <t>Hyperlinks Namen auf B3_xxx angepasst</t>
  </si>
  <si>
    <t>Dieses Verfahren kann von zugelassenen Pflegeeinrichtungen nur dann in Anspruch genommen werden, wenn die prospektiven Steigerungen folgende Größen nicht übersteigen: 
Personalkosten: bis max. 10 Prozent p.a. / sonstige Mitarbeiter bis max. 5 Prozent p.a.
Sachkosten: bis max. 3,5 Prozent p.a.
Fremdleistungen: bis max. 5,00 Prozent p.a.
Die prozentualen Erhöhungen sind im Antragsformular (Mappe Kalkulation) kurz zu begründen und die Herleitung der prozentualen Personalkostensteigerung ist nachvollziehbar vom Leistungserbringer herzuleiten.</t>
  </si>
  <si>
    <t>B3_Hinweise</t>
  </si>
  <si>
    <t>Punkt 5</t>
  </si>
  <si>
    <t>3,5% Sachkosten, 5,00 % Fremdleistung</t>
  </si>
  <si>
    <t>Fußzeile angepasst</t>
  </si>
  <si>
    <t>Version: 22.11.2024</t>
  </si>
  <si>
    <t>Vereinfachtes Verfahren der Aufforderung zum Abschluss einer Pflegesatzvereinbarung gemäß   § 84, 85 SGB XI</t>
  </si>
  <si>
    <r>
      <t>Text gelöscht:</t>
    </r>
    <r>
      <rPr>
        <strike/>
        <sz val="10"/>
        <rFont val="Arial"/>
        <family val="2"/>
      </rPr>
      <t xml:space="preserve"> Inflationsausgleichsprämie in der Forderung enthalten?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</si>
</sst>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0.00\ &quot;€&quot;"/>
    <numFmt numFmtId="165" formatCode="0.000"/>
    <numFmt numFmtId="166" formatCode="#,##0.00\ _€"/>
    <numFmt numFmtId="167" formatCode="0\ &quot;%&quot;"/>
    <numFmt numFmtId="168" formatCode="#,##0.000\ &quot;€&quot;"/>
    <numFmt numFmtId="169" formatCode="#,##0.0000"/>
    <numFmt numFmtId="170" formatCode="_-* #,##0\ [$€-407]_-;\-* #,##0\ [$€-407]_-;_-* &quot;-&quot;??\ [$€-407]_-;_-@_-"/>
    <numFmt numFmtId="171" formatCode="0.0\ %"/>
    <numFmt numFmtId="172" formatCode="#,##0.000"/>
    <numFmt numFmtId="173" formatCode="&quot;1 :&quot;\ 0.00"/>
    <numFmt numFmtId="174" formatCode="\ 0\ &quot;Stelle/n&quot;"/>
    <numFmt numFmtId="175" formatCode="#,##0.00\ &quot;€&quot;&quot;/VK&quot;"/>
    <numFmt numFmtId="176" formatCode="#,##0.00\ &quot;€&quot;&quot;/Stelle&quot;"/>
    <numFmt numFmtId="177" formatCode="#,##0.000\ &quot;VK&quot;"/>
    <numFmt numFmtId="178" formatCode="#,###"/>
    <numFmt numFmtId="179" formatCode="0.000\ &quot;VK&quot;"/>
    <numFmt numFmtId="180" formatCode="dd/mm/yy;@"/>
    <numFmt numFmtId="181" formatCode="0\ &quot;Kalendermonate:&quot;"/>
    <numFmt numFmtId="182" formatCode="0.00\ &quot;€/VK&quot;"/>
    <numFmt numFmtId="183" formatCode="#,##0.00_ ;\-#,##0.00\ "/>
    <numFmt numFmtId="184" formatCode="0.00\ &quot;€/Tag&quot;"/>
    <numFmt numFmtId="185" formatCode="0\ &quot;Stelle/n&quot;"/>
  </numFmts>
  <fonts count="97"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rgb="FFFF0000"/>
      <name val="Arial"/>
      <family val="2"/>
    </font>
    <font>
      <b/>
      <sz val="11"/>
      <color theme="1"/>
      <name val="Arial"/>
      <family val="2"/>
    </font>
    <font>
      <b/>
      <sz val="11"/>
      <name val="Arial"/>
      <family val="2"/>
    </font>
    <font>
      <sz val="11"/>
      <name val="Arial"/>
      <family val="2"/>
    </font>
    <font>
      <b/>
      <sz val="10"/>
      <color theme="1"/>
      <name val="Arial"/>
      <family val="2"/>
    </font>
    <font>
      <b/>
      <sz val="10"/>
      <name val="Arial"/>
      <family val="2"/>
    </font>
    <font>
      <sz val="8"/>
      <color rgb="FFFF0000"/>
      <name val="Arial"/>
      <family val="2"/>
    </font>
    <font>
      <sz val="8"/>
      <color theme="0"/>
      <name val="Arial"/>
      <family val="2"/>
    </font>
    <font>
      <sz val="11"/>
      <color theme="3" tint="-0.249977111117893"/>
      <name val="Arial"/>
      <family val="2"/>
    </font>
    <font>
      <sz val="10"/>
      <color rgb="FFFF0000"/>
      <name val="Arial"/>
      <family val="2"/>
    </font>
    <font>
      <sz val="10"/>
      <name val="Arial"/>
      <family val="2"/>
    </font>
    <font>
      <sz val="8"/>
      <name val="Arial"/>
      <family val="2"/>
    </font>
    <font>
      <u/>
      <sz val="10"/>
      <color indexed="12"/>
      <name val="Arial"/>
      <family val="2"/>
    </font>
    <font>
      <sz val="11"/>
      <color theme="5" tint="-0.499984740745262"/>
      <name val="Arial"/>
      <family val="2"/>
    </font>
    <font>
      <sz val="10"/>
      <color rgb="FF0070C0"/>
      <name val="Arial"/>
      <family val="2"/>
    </font>
    <font>
      <b/>
      <sz val="10"/>
      <color rgb="FFFF0000"/>
      <name val="Arial"/>
      <family val="2"/>
    </font>
    <font>
      <sz val="11"/>
      <color rgb="FF7030A0"/>
      <name val="Arial"/>
      <family val="2"/>
    </font>
    <font>
      <sz val="11"/>
      <color theme="9" tint="-0.499984740745262"/>
      <name val="Arial"/>
      <family val="2"/>
    </font>
    <font>
      <sz val="10"/>
      <color rgb="FF7030A0"/>
      <name val="Arial"/>
      <family val="2"/>
    </font>
    <font>
      <sz val="10"/>
      <color theme="3" tint="-0.249977111117893"/>
      <name val="Arial"/>
      <family val="2"/>
    </font>
    <font>
      <sz val="11"/>
      <color rgb="FF0070C0"/>
      <name val="Arial"/>
      <family val="2"/>
    </font>
    <font>
      <sz val="8"/>
      <color theme="1"/>
      <name val="Arial"/>
      <family val="2"/>
    </font>
    <font>
      <sz val="11"/>
      <color rgb="FFC00000"/>
      <name val="Arial"/>
      <family val="2"/>
    </font>
    <font>
      <b/>
      <sz val="12"/>
      <name val="Arial"/>
      <family val="2"/>
    </font>
    <font>
      <sz val="9"/>
      <name val="Arial"/>
      <family val="2"/>
    </font>
    <font>
      <b/>
      <sz val="10"/>
      <color rgb="FF0070C0"/>
      <name val="Arial"/>
      <family val="2"/>
    </font>
    <font>
      <b/>
      <sz val="10"/>
      <color theme="3" tint="-0.249977111117893"/>
      <name val="Arial"/>
      <family val="2"/>
    </font>
    <font>
      <sz val="11"/>
      <color rgb="FF92D050"/>
      <name val="Arial"/>
      <family val="2"/>
    </font>
    <font>
      <sz val="9"/>
      <color theme="1"/>
      <name val="Arial"/>
      <family val="2"/>
    </font>
    <font>
      <sz val="8"/>
      <color indexed="81"/>
      <name val="Tahoma"/>
      <family val="2"/>
    </font>
    <font>
      <b/>
      <u/>
      <sz val="12"/>
      <name val="Arial"/>
      <family val="2"/>
    </font>
    <font>
      <b/>
      <sz val="11"/>
      <color rgb="FF7030A0"/>
      <name val="Arial"/>
      <family val="2"/>
    </font>
    <font>
      <b/>
      <sz val="12"/>
      <color theme="1"/>
      <name val="Arial"/>
      <family val="2"/>
    </font>
    <font>
      <sz val="12"/>
      <color theme="1"/>
      <name val="Arial"/>
      <family val="2"/>
    </font>
    <font>
      <sz val="12"/>
      <name val="Arial"/>
      <family val="2"/>
    </font>
    <font>
      <sz val="12"/>
      <color theme="3" tint="-0.249977111117893"/>
      <name val="Arial"/>
      <family val="2"/>
    </font>
    <font>
      <sz val="14"/>
      <name val="Arial"/>
      <family val="2"/>
    </font>
    <font>
      <sz val="48"/>
      <name val="Arial"/>
      <family val="2"/>
    </font>
    <font>
      <b/>
      <i/>
      <sz val="9"/>
      <color rgb="FF0070C0"/>
      <name val="Arial"/>
      <family val="2"/>
    </font>
    <font>
      <b/>
      <i/>
      <sz val="9"/>
      <color theme="3" tint="-0.249977111117893"/>
      <name val="Arial"/>
      <family val="2"/>
    </font>
    <font>
      <b/>
      <i/>
      <sz val="9"/>
      <color theme="1"/>
      <name val="Arial"/>
      <family val="2"/>
    </font>
    <font>
      <sz val="11"/>
      <color rgb="FF00B0F0"/>
      <name val="Arial"/>
      <family val="2"/>
    </font>
    <font>
      <sz val="10"/>
      <color rgb="FF00B0F0"/>
      <name val="Arial"/>
      <family val="2"/>
    </font>
    <font>
      <sz val="10"/>
      <color theme="3"/>
      <name val="Arial"/>
      <family val="2"/>
    </font>
    <font>
      <b/>
      <sz val="10"/>
      <color theme="3"/>
      <name val="Arial"/>
      <family val="2"/>
    </font>
    <font>
      <sz val="11"/>
      <color theme="3"/>
      <name val="Arial"/>
      <family val="2"/>
    </font>
    <font>
      <sz val="9"/>
      <color theme="3"/>
      <name val="Arial"/>
      <family val="2"/>
    </font>
    <font>
      <sz val="10"/>
      <color theme="7"/>
      <name val="Arial"/>
      <family val="2"/>
    </font>
    <font>
      <b/>
      <sz val="10"/>
      <color theme="7"/>
      <name val="Arial"/>
      <family val="2"/>
    </font>
    <font>
      <u val="double"/>
      <sz val="10"/>
      <color theme="3"/>
      <name val="Arial"/>
      <family val="2"/>
    </font>
    <font>
      <u/>
      <sz val="10"/>
      <color theme="3"/>
      <name val="Arial"/>
      <family val="2"/>
    </font>
    <font>
      <sz val="11"/>
      <color theme="6"/>
      <name val="Arial"/>
      <family val="2"/>
    </font>
    <font>
      <b/>
      <sz val="10"/>
      <color theme="6"/>
      <name val="Arial"/>
      <family val="2"/>
    </font>
    <font>
      <b/>
      <sz val="10"/>
      <color theme="0"/>
      <name val="Arial"/>
      <family val="2"/>
    </font>
    <font>
      <sz val="11"/>
      <color theme="9" tint="-0.249977111117893"/>
      <name val="Arial"/>
      <family val="2"/>
    </font>
    <font>
      <u/>
      <sz val="10"/>
      <color rgb="FFFF0000"/>
      <name val="Arial"/>
      <family val="2"/>
    </font>
    <font>
      <b/>
      <i/>
      <sz val="11"/>
      <color theme="1"/>
      <name val="Arial"/>
      <family val="2"/>
    </font>
    <font>
      <sz val="11"/>
      <color rgb="FFFF33CC"/>
      <name val="Arial"/>
      <family val="2"/>
    </font>
    <font>
      <sz val="9"/>
      <color rgb="FFFF33CC"/>
      <name val="Arial"/>
      <family val="2"/>
    </font>
    <font>
      <sz val="11"/>
      <color theme="0" tint="-0.249977111117893"/>
      <name val="Arial"/>
      <family val="2"/>
    </font>
    <font>
      <sz val="9"/>
      <color rgb="FF7030A0"/>
      <name val="Arial"/>
      <family val="2"/>
    </font>
    <font>
      <sz val="9"/>
      <color rgb="FFFF0000"/>
      <name val="Arial"/>
      <family val="2"/>
    </font>
    <font>
      <sz val="10"/>
      <color theme="0" tint="-0.249977111117893"/>
      <name val="Arial"/>
      <family val="2"/>
    </font>
    <font>
      <b/>
      <sz val="9"/>
      <name val="Arial"/>
      <family val="2"/>
    </font>
    <font>
      <u/>
      <sz val="9"/>
      <color theme="1"/>
      <name val="Arial"/>
      <family val="2"/>
    </font>
    <font>
      <b/>
      <sz val="11"/>
      <color theme="0"/>
      <name val="Arial"/>
      <family val="2"/>
    </font>
    <font>
      <b/>
      <sz val="18"/>
      <color theme="0"/>
      <name val="Arial"/>
      <family val="2"/>
    </font>
    <font>
      <u/>
      <sz val="9"/>
      <name val="Arial"/>
      <family val="2"/>
    </font>
    <font>
      <sz val="10"/>
      <color theme="0"/>
      <name val="Arial"/>
      <family val="2"/>
    </font>
    <font>
      <u/>
      <sz val="10"/>
      <name val="Arial"/>
      <family val="2"/>
    </font>
    <font>
      <sz val="7"/>
      <color theme="0" tint="-0.34998626667073579"/>
      <name val="Arial"/>
      <family val="2"/>
    </font>
    <font>
      <b/>
      <sz val="11"/>
      <color rgb="FFFF0000"/>
      <name val="Arial"/>
      <family val="2"/>
    </font>
    <font>
      <b/>
      <u/>
      <sz val="11"/>
      <color theme="1"/>
      <name val="Arial"/>
      <family val="2"/>
    </font>
    <font>
      <b/>
      <sz val="10"/>
      <color theme="0" tint="-4.9989318521683403E-2"/>
      <name val="Arial"/>
      <family val="2"/>
    </font>
    <font>
      <sz val="9"/>
      <color theme="0" tint="-4.9989318521683403E-2"/>
      <name val="Arial"/>
      <family val="2"/>
    </font>
    <font>
      <b/>
      <sz val="9"/>
      <color rgb="FFFF0000"/>
      <name val="Arial"/>
      <family val="2"/>
    </font>
    <font>
      <u/>
      <sz val="11"/>
      <color theme="1"/>
      <name val="Arial"/>
      <family val="2"/>
    </font>
    <font>
      <strike/>
      <sz val="10"/>
      <name val="Arial"/>
      <family val="2"/>
    </font>
  </fonts>
  <fills count="31">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
      <patternFill patternType="solid">
        <fgColor theme="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DECD9"/>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rgb="FFCCECFF"/>
        <bgColor indexed="64"/>
      </patternFill>
    </fill>
    <fill>
      <patternFill patternType="solid">
        <fgColor rgb="FF99CCFF"/>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BFD95"/>
        <bgColor indexed="64"/>
      </patternFill>
    </fill>
    <fill>
      <patternFill patternType="solid">
        <fgColor rgb="FFFBF7A7"/>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theme="0" tint="-0.499984740745262"/>
      </bottom>
      <diagonal/>
    </border>
    <border>
      <left/>
      <right/>
      <top/>
      <bottom style="dotted">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auto="1"/>
      </left>
      <right style="dotted">
        <color auto="1"/>
      </right>
      <top/>
      <bottom style="medium">
        <color rgb="FF0070C0"/>
      </bottom>
      <diagonal/>
    </border>
    <border>
      <left style="dotted">
        <color auto="1"/>
      </left>
      <right style="dotted">
        <color auto="1"/>
      </right>
      <top/>
      <bottom/>
      <diagonal/>
    </border>
    <border>
      <left style="dotted">
        <color auto="1"/>
      </left>
      <right style="dotted">
        <color auto="1"/>
      </right>
      <top style="medium">
        <color theme="6" tint="-0.24994659260841701"/>
      </top>
      <bottom/>
      <diagonal/>
    </border>
    <border>
      <left style="dotted">
        <color auto="1"/>
      </left>
      <right style="dotted">
        <color auto="1"/>
      </right>
      <top/>
      <bottom style="medium">
        <color theme="6" tint="-0.24994659260841701"/>
      </bottom>
      <diagonal/>
    </border>
    <border>
      <left style="dotted">
        <color auto="1"/>
      </left>
      <right style="dotted">
        <color auto="1"/>
      </right>
      <top style="medium">
        <color rgb="FF0070C0"/>
      </top>
      <bottom/>
      <diagonal/>
    </border>
    <border>
      <left style="medium">
        <color auto="1"/>
      </left>
      <right style="medium">
        <color auto="1"/>
      </right>
      <top style="medium">
        <color auto="1"/>
      </top>
      <bottom/>
      <diagonal/>
    </border>
    <border>
      <left style="dotted">
        <color auto="1"/>
      </left>
      <right style="medium">
        <color theme="6" tint="-0.24994659260841701"/>
      </right>
      <top style="medium">
        <color theme="6" tint="-0.24994659260841701"/>
      </top>
      <bottom/>
      <diagonal/>
    </border>
    <border>
      <left style="dotted">
        <color auto="1"/>
      </left>
      <right style="medium">
        <color theme="6" tint="-0.24994659260841701"/>
      </right>
      <top/>
      <bottom style="medium">
        <color theme="6" tint="-0.24994659260841701"/>
      </bottom>
      <diagonal/>
    </border>
    <border>
      <left style="dotted">
        <color auto="1"/>
      </left>
      <right style="medium">
        <color rgb="FF0070C0"/>
      </right>
      <top style="medium">
        <color rgb="FF0070C0"/>
      </top>
      <bottom/>
      <diagonal/>
    </border>
    <border>
      <left style="dotted">
        <color auto="1"/>
      </left>
      <right style="medium">
        <color rgb="FF0070C0"/>
      </right>
      <top/>
      <bottom style="medium">
        <color rgb="FF0070C0"/>
      </bottom>
      <diagonal/>
    </border>
    <border>
      <left style="dotted">
        <color auto="1"/>
      </left>
      <right style="medium">
        <color rgb="FF0070C0"/>
      </right>
      <top/>
      <bottom/>
      <diagonal/>
    </border>
    <border>
      <left style="medium">
        <color rgb="FF0070C0"/>
      </left>
      <right style="dotted">
        <color auto="1"/>
      </right>
      <top style="medium">
        <color rgb="FF0070C0"/>
      </top>
      <bottom/>
      <diagonal/>
    </border>
    <border>
      <left style="medium">
        <color rgb="FF0070C0"/>
      </left>
      <right style="dotted">
        <color auto="1"/>
      </right>
      <top/>
      <bottom style="medium">
        <color rgb="FF0070C0"/>
      </bottom>
      <diagonal/>
    </border>
    <border>
      <left style="medium">
        <color rgb="FF0070C0"/>
      </left>
      <right style="dotted">
        <color auto="1"/>
      </right>
      <top/>
      <bottom/>
      <diagonal/>
    </border>
    <border>
      <left style="dotted">
        <color auto="1"/>
      </left>
      <right style="dotted">
        <color auto="1"/>
      </right>
      <top style="medium">
        <color indexed="64"/>
      </top>
      <bottom/>
      <diagonal/>
    </border>
    <border>
      <left style="dotted">
        <color auto="1"/>
      </left>
      <right style="dotted">
        <color auto="1"/>
      </right>
      <top/>
      <bottom style="medium">
        <color indexed="64"/>
      </bottom>
      <diagonal/>
    </border>
    <border>
      <left style="dotted">
        <color auto="1"/>
      </left>
      <right style="medium">
        <color auto="1"/>
      </right>
      <top style="medium">
        <color indexed="64"/>
      </top>
      <bottom/>
      <diagonal/>
    </border>
    <border>
      <left style="dotted">
        <color auto="1"/>
      </left>
      <right style="medium">
        <color auto="1"/>
      </right>
      <top/>
      <bottom style="medium">
        <color indexed="64"/>
      </bottom>
      <diagonal/>
    </border>
    <border>
      <left style="medium">
        <color indexed="64"/>
      </left>
      <right style="dotted">
        <color auto="1"/>
      </right>
      <top style="medium">
        <color indexed="64"/>
      </top>
      <bottom/>
      <diagonal/>
    </border>
    <border>
      <left style="medium">
        <color indexed="64"/>
      </left>
      <right style="dotted">
        <color auto="1"/>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tted">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rgb="FFFF0000"/>
      </top>
      <bottom style="thin">
        <color indexed="64"/>
      </bottom>
      <diagonal/>
    </border>
    <border>
      <left style="thin">
        <color indexed="64"/>
      </left>
      <right/>
      <top style="medium">
        <color indexed="64"/>
      </top>
      <bottom/>
      <diagonal/>
    </border>
    <border>
      <left style="medium">
        <color theme="6" tint="-0.24994659260841701"/>
      </left>
      <right style="dotted">
        <color auto="1"/>
      </right>
      <top style="medium">
        <color theme="6" tint="-0.24994659260841701"/>
      </top>
      <bottom/>
      <diagonal/>
    </border>
    <border>
      <left style="medium">
        <color theme="6" tint="-0.24994659260841701"/>
      </left>
      <right style="dotted">
        <color auto="1"/>
      </right>
      <top/>
      <bottom style="medium">
        <color theme="6" tint="-0.24994659260841701"/>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medium">
        <color indexed="64"/>
      </right>
      <top/>
      <bottom style="medium">
        <color rgb="FFFF0000"/>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indexed="64"/>
      </top>
      <bottom style="medium">
        <color rgb="FFFF0000"/>
      </bottom>
      <diagonal/>
    </border>
    <border>
      <left style="thin">
        <color indexed="64"/>
      </left>
      <right/>
      <top style="double">
        <color indexed="64"/>
      </top>
      <bottom style="double">
        <color indexed="64"/>
      </bottom>
      <diagonal/>
    </border>
    <border>
      <left/>
      <right style="thin">
        <color indexed="64"/>
      </right>
      <top/>
      <bottom style="double">
        <color indexed="64"/>
      </bottom>
      <diagonal/>
    </border>
  </borders>
  <cellStyleXfs count="18">
    <xf numFmtId="0" fontId="0" fillId="0" borderId="0"/>
    <xf numFmtId="0" fontId="31" fillId="0" borderId="0" applyNumberFormat="0" applyFill="0" applyBorder="0" applyAlignment="0" applyProtection="0">
      <alignment vertical="top"/>
      <protection locked="0"/>
    </xf>
    <xf numFmtId="44" fontId="18" fillId="0" borderId="0" applyFont="0" applyFill="0" applyBorder="0" applyAlignment="0" applyProtection="0"/>
    <xf numFmtId="9" fontId="18" fillId="0" borderId="0" applyFont="0" applyFill="0" applyBorder="0" applyAlignment="0" applyProtection="0"/>
    <xf numFmtId="0" fontId="18" fillId="13" borderId="68" applyNumberFormat="0" applyAlignment="0">
      <protection locked="0"/>
    </xf>
    <xf numFmtId="171" fontId="29" fillId="0" borderId="0" applyFont="0" applyFill="0" applyBorder="0" applyAlignment="0" applyProtection="0"/>
    <xf numFmtId="0" fontId="18" fillId="14" borderId="0" applyNumberFormat="0" applyFont="0" applyBorder="0" applyAlignment="0" applyProtection="0"/>
    <xf numFmtId="0" fontId="18" fillId="15" borderId="0" applyNumberFormat="0" applyFont="0" applyBorder="0" applyAlignment="0" applyProtection="0"/>
    <xf numFmtId="14" fontId="29" fillId="13" borderId="14" applyFont="0" applyFill="0" applyBorder="0" applyAlignment="0" applyProtection="0">
      <alignment vertical="center"/>
      <protection locked="0"/>
    </xf>
    <xf numFmtId="0" fontId="18" fillId="13" borderId="68" applyNumberFormat="0" applyAlignment="0">
      <protection locked="0"/>
    </xf>
    <xf numFmtId="0" fontId="22" fillId="13" borderId="14" applyNumberFormat="0" applyFont="0" applyAlignment="0">
      <protection locked="0"/>
    </xf>
    <xf numFmtId="0" fontId="29" fillId="0" borderId="0" applyNumberFormat="0" applyFont="0" applyBorder="0" applyAlignment="0"/>
    <xf numFmtId="0" fontId="29" fillId="16" borderId="0" applyNumberFormat="0" applyFont="0" applyBorder="0" applyAlignment="0" applyProtection="0"/>
    <xf numFmtId="0" fontId="29" fillId="0" borderId="0" applyBorder="0">
      <alignment vertical="center"/>
    </xf>
    <xf numFmtId="2" fontId="29" fillId="0" borderId="0" applyFont="0" applyFill="0" applyBorder="0" applyAlignment="0" applyProtection="0"/>
    <xf numFmtId="49" fontId="29" fillId="0" borderId="0" applyFont="0" applyFill="0" applyBorder="0" applyAlignment="0" applyProtection="0">
      <alignment vertical="center"/>
    </xf>
    <xf numFmtId="172" fontId="29" fillId="0" borderId="0" applyFont="0" applyFill="0" applyBorder="0" applyAlignment="0" applyProtection="0"/>
    <xf numFmtId="0" fontId="29" fillId="0" borderId="0" applyBorder="0">
      <alignment vertical="center"/>
    </xf>
  </cellStyleXfs>
  <cellXfs count="1010">
    <xf numFmtId="0" fontId="0" fillId="0" borderId="0" xfId="0"/>
    <xf numFmtId="0" fontId="19" fillId="0" borderId="0" xfId="0" applyFont="1"/>
    <xf numFmtId="0" fontId="0" fillId="0" borderId="4" xfId="0" applyBorder="1" applyProtection="1">
      <protection hidden="1"/>
    </xf>
    <xf numFmtId="0" fontId="0" fillId="0" borderId="0" xfId="0" applyProtection="1">
      <protection hidden="1"/>
    </xf>
    <xf numFmtId="0" fontId="0" fillId="0" borderId="5" xfId="0" applyBorder="1" applyProtection="1">
      <protection hidden="1"/>
    </xf>
    <xf numFmtId="0" fontId="23" fillId="0" borderId="0" xfId="0" applyFont="1" applyProtection="1">
      <protection hidden="1"/>
    </xf>
    <xf numFmtId="0" fontId="23" fillId="0" borderId="0" xfId="0" applyFont="1" applyAlignment="1" applyProtection="1">
      <alignment horizontal="right"/>
      <protection hidden="1"/>
    </xf>
    <xf numFmtId="0" fontId="24" fillId="0" borderId="0" xfId="0" applyFont="1" applyAlignment="1" applyProtection="1">
      <alignment horizontal="center"/>
      <protection hidden="1"/>
    </xf>
    <xf numFmtId="0" fontId="25" fillId="0" borderId="0" xfId="0" applyFont="1" applyAlignment="1" applyProtection="1">
      <alignment horizontal="right"/>
      <protection hidden="1"/>
    </xf>
    <xf numFmtId="0" fontId="27" fillId="0" borderId="0" xfId="0" applyFont="1"/>
    <xf numFmtId="0" fontId="17" fillId="0" borderId="0" xfId="0" applyFont="1" applyProtection="1">
      <protection hidden="1"/>
    </xf>
    <xf numFmtId="0" fontId="29" fillId="0" borderId="5" xfId="0" applyFont="1" applyBorder="1" applyProtection="1">
      <protection hidden="1"/>
    </xf>
    <xf numFmtId="0" fontId="30" fillId="0" borderId="0" xfId="0" applyFont="1" applyAlignment="1" applyProtection="1">
      <alignment vertical="top"/>
      <protection hidden="1"/>
    </xf>
    <xf numFmtId="0" fontId="30" fillId="0" borderId="5" xfId="0" applyFont="1" applyBorder="1" applyAlignment="1" applyProtection="1">
      <alignment vertical="top"/>
      <protection hidden="1"/>
    </xf>
    <xf numFmtId="0" fontId="30" fillId="0" borderId="0" xfId="0" applyFont="1" applyProtection="1">
      <protection hidden="1"/>
    </xf>
    <xf numFmtId="0" fontId="24" fillId="0" borderId="0" xfId="0" applyFont="1" applyProtection="1">
      <protection hidden="1"/>
    </xf>
    <xf numFmtId="0" fontId="17" fillId="0" borderId="0" xfId="0" applyFont="1" applyAlignment="1" applyProtection="1">
      <alignment horizontal="right"/>
      <protection hidden="1"/>
    </xf>
    <xf numFmtId="0" fontId="29" fillId="0" borderId="0" xfId="0" applyFont="1"/>
    <xf numFmtId="0" fontId="0" fillId="0" borderId="5" xfId="0" applyBorder="1"/>
    <xf numFmtId="0" fontId="0" fillId="0" borderId="4" xfId="0" applyBorder="1"/>
    <xf numFmtId="0" fontId="0" fillId="0" borderId="2" xfId="0" applyBorder="1"/>
    <xf numFmtId="0" fontId="30" fillId="0" borderId="2" xfId="0" applyFont="1" applyBorder="1" applyAlignment="1" applyProtection="1">
      <alignment horizontal="center" vertical="top"/>
      <protection hidden="1"/>
    </xf>
    <xf numFmtId="0" fontId="17" fillId="0" borderId="6" xfId="0" applyFont="1" applyBorder="1" applyProtection="1">
      <protection hidden="1"/>
    </xf>
    <xf numFmtId="0" fontId="17" fillId="0" borderId="7" xfId="0" applyFont="1" applyBorder="1" applyProtection="1">
      <protection hidden="1"/>
    </xf>
    <xf numFmtId="0" fontId="17" fillId="0" borderId="4" xfId="0" applyFont="1" applyBorder="1" applyProtection="1">
      <protection hidden="1"/>
    </xf>
    <xf numFmtId="2" fontId="29" fillId="0" borderId="7" xfId="0" applyNumberFormat="1" applyFont="1" applyBorder="1" applyProtection="1">
      <protection hidden="1"/>
    </xf>
    <xf numFmtId="0" fontId="17" fillId="0" borderId="7" xfId="0" applyFont="1" applyBorder="1" applyAlignment="1" applyProtection="1">
      <alignment horizontal="right"/>
      <protection hidden="1"/>
    </xf>
    <xf numFmtId="2" fontId="17" fillId="0" borderId="7" xfId="0" applyNumberFormat="1" applyFont="1" applyBorder="1" applyAlignment="1" applyProtection="1">
      <alignment horizontal="right"/>
      <protection hidden="1"/>
    </xf>
    <xf numFmtId="2" fontId="29" fillId="0" borderId="0" xfId="0" applyNumberFormat="1" applyFont="1" applyProtection="1">
      <protection hidden="1"/>
    </xf>
    <xf numFmtId="0" fontId="17" fillId="0" borderId="5" xfId="0" applyFont="1" applyBorder="1" applyProtection="1">
      <protection hidden="1"/>
    </xf>
    <xf numFmtId="0" fontId="0" fillId="0" borderId="4" xfId="0" applyBorder="1" applyAlignment="1" applyProtection="1">
      <alignment vertical="center"/>
      <protection hidden="1"/>
    </xf>
    <xf numFmtId="0" fontId="17" fillId="0" borderId="0" xfId="0" applyFont="1" applyAlignment="1" applyProtection="1">
      <alignment vertical="center"/>
      <protection hidden="1"/>
    </xf>
    <xf numFmtId="0" fontId="0" fillId="0" borderId="5" xfId="0" applyBorder="1" applyAlignment="1" applyProtection="1">
      <alignment vertical="center"/>
      <protection hidden="1"/>
    </xf>
    <xf numFmtId="0" fontId="0" fillId="0" borderId="0" xfId="0" applyAlignment="1" applyProtection="1">
      <alignment vertical="center"/>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39" fillId="0" borderId="0" xfId="0" applyFont="1"/>
    <xf numFmtId="0" fontId="0" fillId="2" borderId="0" xfId="0" applyFill="1" applyProtection="1">
      <protection hidden="1"/>
    </xf>
    <xf numFmtId="0" fontId="24" fillId="2" borderId="0" xfId="0" applyFont="1" applyFill="1" applyProtection="1">
      <protection hidden="1"/>
    </xf>
    <xf numFmtId="0" fontId="17" fillId="8" borderId="0" xfId="0" applyFont="1" applyFill="1" applyProtection="1">
      <protection hidden="1"/>
    </xf>
    <xf numFmtId="0" fontId="17" fillId="8" borderId="0" xfId="0" applyFont="1" applyFill="1" applyAlignment="1" applyProtection="1">
      <alignment horizontal="right"/>
      <protection hidden="1"/>
    </xf>
    <xf numFmtId="0" fontId="18" fillId="0" borderId="4" xfId="0" applyFont="1" applyBorder="1"/>
    <xf numFmtId="0" fontId="42" fillId="0" borderId="0" xfId="0" applyFont="1"/>
    <xf numFmtId="0" fontId="18" fillId="0" borderId="0" xfId="0" applyFont="1"/>
    <xf numFmtId="0" fontId="18" fillId="0" borderId="5" xfId="0" applyFont="1" applyBorder="1"/>
    <xf numFmtId="0" fontId="49" fillId="0" borderId="0" xfId="0" applyFont="1"/>
    <xf numFmtId="0" fontId="22" fillId="0" borderId="0" xfId="0" applyFont="1"/>
    <xf numFmtId="0" fontId="30" fillId="0" borderId="0" xfId="0" applyFont="1"/>
    <xf numFmtId="0" fontId="22" fillId="0" borderId="5" xfId="0" applyFont="1" applyBorder="1"/>
    <xf numFmtId="0" fontId="35" fillId="0" borderId="0" xfId="0" applyFont="1"/>
    <xf numFmtId="0" fontId="29" fillId="0" borderId="5" xfId="0" applyFont="1" applyBorder="1"/>
    <xf numFmtId="0" fontId="18" fillId="0" borderId="27" xfId="0" applyFont="1" applyBorder="1"/>
    <xf numFmtId="0" fontId="18" fillId="0" borderId="28" xfId="0" applyFont="1" applyBorder="1"/>
    <xf numFmtId="0" fontId="22" fillId="0" borderId="28" xfId="0" applyFont="1" applyBorder="1"/>
    <xf numFmtId="0" fontId="29" fillId="0" borderId="28" xfId="0" applyFont="1" applyBorder="1"/>
    <xf numFmtId="0" fontId="29" fillId="0" borderId="29" xfId="0" applyFont="1" applyBorder="1"/>
    <xf numFmtId="0" fontId="43" fillId="0" borderId="0" xfId="0" applyFont="1"/>
    <xf numFmtId="0" fontId="18" fillId="0" borderId="6" xfId="0" applyFont="1" applyBorder="1"/>
    <xf numFmtId="0" fontId="18" fillId="0" borderId="8" xfId="0" applyFont="1" applyBorder="1"/>
    <xf numFmtId="0" fontId="20" fillId="0" borderId="0" xfId="0" applyFont="1"/>
    <xf numFmtId="0" fontId="50" fillId="0" borderId="0" xfId="0" applyFont="1"/>
    <xf numFmtId="0" fontId="0" fillId="7" borderId="0" xfId="0" applyFill="1"/>
    <xf numFmtId="0" fontId="0" fillId="7" borderId="0" xfId="0" applyFill="1" applyAlignment="1">
      <alignment horizontal="center"/>
    </xf>
    <xf numFmtId="9" fontId="35" fillId="7" borderId="0" xfId="0" applyNumberFormat="1" applyFont="1" applyFill="1"/>
    <xf numFmtId="0" fontId="17" fillId="0" borderId="0" xfId="0" quotePrefix="1" applyFont="1" applyAlignment="1" applyProtection="1">
      <alignment horizontal="left"/>
      <protection hidden="1"/>
    </xf>
    <xf numFmtId="0" fontId="17" fillId="0" borderId="0" xfId="0" applyFont="1" applyAlignment="1" applyProtection="1">
      <alignment horizontal="left"/>
      <protection hidden="1"/>
    </xf>
    <xf numFmtId="0" fontId="30" fillId="2" borderId="0" xfId="0" applyFont="1" applyFill="1" applyAlignment="1" applyProtection="1">
      <alignment vertical="top"/>
      <protection hidden="1"/>
    </xf>
    <xf numFmtId="0" fontId="23" fillId="2" borderId="0" xfId="0" applyFont="1" applyFill="1" applyAlignment="1" applyProtection="1">
      <alignment vertical="center"/>
      <protection hidden="1"/>
    </xf>
    <xf numFmtId="0" fontId="29" fillId="0" borderId="5" xfId="0" applyFont="1" applyBorder="1" applyAlignment="1">
      <alignment horizontal="left" vertical="top"/>
    </xf>
    <xf numFmtId="0" fontId="29" fillId="0" borderId="5" xfId="0" applyFont="1" applyBorder="1" applyAlignment="1">
      <alignment horizontal="left"/>
    </xf>
    <xf numFmtId="166" fontId="30" fillId="8" borderId="4" xfId="0" applyNumberFormat="1" applyFont="1" applyFill="1" applyBorder="1" applyAlignment="1">
      <alignment vertical="top" wrapText="1"/>
    </xf>
    <xf numFmtId="2" fontId="17" fillId="0" borderId="17" xfId="0" applyNumberFormat="1" applyFont="1" applyBorder="1" applyAlignment="1" applyProtection="1">
      <alignment horizontal="right"/>
      <protection hidden="1"/>
    </xf>
    <xf numFmtId="14" fontId="40" fillId="0" borderId="0" xfId="0" applyNumberFormat="1" applyFont="1" applyProtection="1">
      <protection hidden="1"/>
    </xf>
    <xf numFmtId="0" fontId="0" fillId="0" borderId="2" xfId="0" applyBorder="1" applyProtection="1">
      <protection hidden="1"/>
    </xf>
    <xf numFmtId="2" fontId="17" fillId="0" borderId="0" xfId="0" applyNumberFormat="1" applyFont="1" applyProtection="1">
      <protection hidden="1"/>
    </xf>
    <xf numFmtId="0" fontId="29" fillId="0" borderId="0" xfId="0" applyFont="1" applyAlignment="1">
      <alignment horizontal="left" vertical="top"/>
    </xf>
    <xf numFmtId="0" fontId="29" fillId="0" borderId="0" xfId="0" applyFont="1" applyAlignment="1">
      <alignment horizontal="left"/>
    </xf>
    <xf numFmtId="0" fontId="18" fillId="6" borderId="0" xfId="0" applyFont="1" applyFill="1" applyAlignment="1">
      <alignment horizontal="center"/>
    </xf>
    <xf numFmtId="0" fontId="42" fillId="0" borderId="4" xfId="0" applyFont="1" applyBorder="1"/>
    <xf numFmtId="0" fontId="42" fillId="9" borderId="15" xfId="0" applyFont="1" applyFill="1" applyBorder="1" applyAlignment="1" applyProtection="1">
      <alignment horizontal="center" vertical="center"/>
      <protection locked="0"/>
    </xf>
    <xf numFmtId="0" fontId="52" fillId="0" borderId="0" xfId="0" applyFont="1"/>
    <xf numFmtId="0" fontId="42" fillId="0" borderId="5" xfId="0" applyFont="1" applyBorder="1"/>
    <xf numFmtId="0" fontId="52" fillId="0" borderId="4" xfId="0" applyFont="1" applyBorder="1"/>
    <xf numFmtId="0" fontId="53" fillId="0" borderId="0" xfId="0" applyFont="1"/>
    <xf numFmtId="0" fontId="52" fillId="0" borderId="5" xfId="0" applyFont="1" applyBorder="1"/>
    <xf numFmtId="0" fontId="21" fillId="9" borderId="15" xfId="0" applyFont="1" applyFill="1" applyBorder="1" applyAlignment="1" applyProtection="1">
      <alignment horizontal="center" vertical="center"/>
      <protection locked="0"/>
    </xf>
    <xf numFmtId="0" fontId="53" fillId="0" borderId="5" xfId="0" applyFont="1" applyBorder="1"/>
    <xf numFmtId="0" fontId="24" fillId="9" borderId="15" xfId="0" applyFont="1" applyFill="1" applyBorder="1" applyAlignment="1" applyProtection="1">
      <alignment horizontal="center" vertical="center"/>
      <protection locked="0"/>
    </xf>
    <xf numFmtId="0" fontId="29" fillId="0" borderId="0" xfId="0" applyFont="1" applyAlignment="1">
      <alignment vertical="top"/>
    </xf>
    <xf numFmtId="0" fontId="0" fillId="0" borderId="7" xfId="0" applyBorder="1"/>
    <xf numFmtId="0" fontId="22" fillId="0" borderId="7" xfId="0" applyFont="1" applyBorder="1"/>
    <xf numFmtId="0" fontId="54" fillId="0" borderId="0" xfId="0" applyFont="1"/>
    <xf numFmtId="0" fontId="24" fillId="3" borderId="14" xfId="0" applyFont="1" applyFill="1" applyBorder="1" applyAlignment="1" applyProtection="1">
      <alignment horizontal="center"/>
      <protection locked="0"/>
    </xf>
    <xf numFmtId="0" fontId="18" fillId="6" borderId="0" xfId="0" applyFont="1" applyFill="1" applyProtection="1">
      <protection hidden="1"/>
    </xf>
    <xf numFmtId="0" fontId="29" fillId="6" borderId="0" xfId="0" applyFont="1" applyFill="1" applyProtection="1">
      <protection hidden="1"/>
    </xf>
    <xf numFmtId="0" fontId="24" fillId="6" borderId="0" xfId="0" applyFont="1" applyFill="1" applyAlignment="1" applyProtection="1">
      <alignment horizontal="center"/>
      <protection hidden="1"/>
    </xf>
    <xf numFmtId="0" fontId="18" fillId="0" borderId="0" xfId="0" applyFont="1" applyProtection="1">
      <protection hidden="1"/>
    </xf>
    <xf numFmtId="0" fontId="18" fillId="3" borderId="14" xfId="0" applyFont="1" applyFill="1" applyBorder="1" applyProtection="1">
      <protection locked="0"/>
    </xf>
    <xf numFmtId="0" fontId="26" fillId="0" borderId="0" xfId="0" applyFont="1" applyProtection="1">
      <protection hidden="1"/>
    </xf>
    <xf numFmtId="2" fontId="38" fillId="8" borderId="0" xfId="0" applyNumberFormat="1" applyFont="1" applyFill="1" applyAlignment="1" applyProtection="1">
      <alignment horizontal="center"/>
      <protection hidden="1"/>
    </xf>
    <xf numFmtId="10" fontId="38" fillId="8" borderId="0" xfId="0" applyNumberFormat="1" applyFont="1" applyFill="1" applyAlignment="1" applyProtection="1">
      <alignment horizontal="center"/>
      <protection hidden="1"/>
    </xf>
    <xf numFmtId="165" fontId="38" fillId="8" borderId="0" xfId="0" applyNumberFormat="1" applyFont="1" applyFill="1" applyAlignment="1" applyProtection="1">
      <alignment horizontal="center"/>
      <protection hidden="1"/>
    </xf>
    <xf numFmtId="0" fontId="23" fillId="8" borderId="43" xfId="0" applyFont="1" applyFill="1" applyBorder="1" applyAlignment="1" applyProtection="1">
      <alignment horizontal="center"/>
      <protection hidden="1"/>
    </xf>
    <xf numFmtId="0" fontId="38" fillId="8" borderId="39" xfId="0" applyFont="1" applyFill="1" applyBorder="1" applyProtection="1">
      <protection hidden="1"/>
    </xf>
    <xf numFmtId="0" fontId="45" fillId="8" borderId="41" xfId="0" applyFont="1" applyFill="1" applyBorder="1" applyAlignment="1" applyProtection="1">
      <alignment horizontal="center"/>
      <protection hidden="1"/>
    </xf>
    <xf numFmtId="0" fontId="17" fillId="8" borderId="39" xfId="0" applyFont="1" applyFill="1" applyBorder="1" applyProtection="1">
      <protection hidden="1"/>
    </xf>
    <xf numFmtId="170" fontId="44" fillId="8" borderId="42" xfId="0" applyNumberFormat="1" applyFont="1" applyFill="1" applyBorder="1" applyAlignment="1" applyProtection="1">
      <alignment horizontal="center" vertical="center"/>
      <protection hidden="1"/>
    </xf>
    <xf numFmtId="170" fontId="44" fillId="8" borderId="46" xfId="0" applyNumberFormat="1" applyFont="1" applyFill="1" applyBorder="1" applyAlignment="1" applyProtection="1">
      <alignment horizontal="center" vertical="center"/>
      <protection hidden="1"/>
    </xf>
    <xf numFmtId="2" fontId="34" fillId="8" borderId="39" xfId="0" applyNumberFormat="1" applyFont="1" applyFill="1" applyBorder="1" applyAlignment="1" applyProtection="1">
      <alignment horizontal="center" vertical="center"/>
      <protection hidden="1"/>
    </xf>
    <xf numFmtId="0" fontId="44" fillId="8" borderId="39" xfId="0" applyFont="1" applyFill="1" applyBorder="1" applyAlignment="1" applyProtection="1">
      <alignment horizontal="center" vertical="center"/>
      <protection hidden="1"/>
    </xf>
    <xf numFmtId="2" fontId="44" fillId="8" borderId="39" xfId="0" applyNumberFormat="1" applyFont="1" applyFill="1" applyBorder="1" applyAlignment="1" applyProtection="1">
      <alignment horizontal="center" vertical="center"/>
      <protection hidden="1"/>
    </xf>
    <xf numFmtId="2" fontId="44" fillId="8" borderId="48" xfId="0" applyNumberFormat="1" applyFont="1" applyFill="1" applyBorder="1" applyAlignment="1" applyProtection="1">
      <alignment horizontal="center" vertical="center"/>
      <protection hidden="1"/>
    </xf>
    <xf numFmtId="0" fontId="33" fillId="8" borderId="38" xfId="0" applyFont="1" applyFill="1" applyBorder="1" applyAlignment="1" applyProtection="1">
      <alignment horizontal="center" vertical="center"/>
      <protection hidden="1"/>
    </xf>
    <xf numFmtId="10" fontId="57" fillId="8" borderId="38" xfId="3" applyNumberFormat="1" applyFont="1" applyFill="1" applyBorder="1" applyAlignment="1" applyProtection="1">
      <alignment horizontal="center" vertical="center"/>
      <protection hidden="1"/>
    </xf>
    <xf numFmtId="0" fontId="17" fillId="8" borderId="42" xfId="0" applyFont="1" applyFill="1" applyBorder="1" applyProtection="1">
      <protection hidden="1"/>
    </xf>
    <xf numFmtId="0" fontId="23" fillId="8" borderId="52" xfId="0" applyFont="1" applyFill="1" applyBorder="1" applyAlignment="1" applyProtection="1">
      <alignment horizontal="center"/>
      <protection hidden="1"/>
    </xf>
    <xf numFmtId="0" fontId="23" fillId="8" borderId="54" xfId="0" applyFont="1" applyFill="1" applyBorder="1" applyAlignment="1" applyProtection="1">
      <alignment horizontal="center"/>
      <protection hidden="1"/>
    </xf>
    <xf numFmtId="0" fontId="17" fillId="8" borderId="53" xfId="0" applyFont="1" applyFill="1" applyBorder="1" applyProtection="1">
      <protection hidden="1"/>
    </xf>
    <xf numFmtId="10" fontId="59" fillId="7" borderId="53" xfId="3" applyNumberFormat="1" applyFont="1" applyFill="1" applyBorder="1" applyProtection="1">
      <protection hidden="1"/>
    </xf>
    <xf numFmtId="10" fontId="59" fillId="7" borderId="55" xfId="3" applyNumberFormat="1" applyFont="1" applyFill="1" applyBorder="1" applyProtection="1">
      <protection hidden="1"/>
    </xf>
    <xf numFmtId="10" fontId="57" fillId="7" borderId="38" xfId="3" applyNumberFormat="1" applyFont="1" applyFill="1" applyBorder="1" applyAlignment="1" applyProtection="1">
      <alignment horizontal="center" vertical="center"/>
      <protection hidden="1"/>
    </xf>
    <xf numFmtId="10" fontId="57" fillId="7" borderId="47" xfId="3" applyNumberFormat="1" applyFont="1" applyFill="1" applyBorder="1" applyAlignment="1" applyProtection="1">
      <alignment horizontal="center" vertical="center"/>
      <protection hidden="1"/>
    </xf>
    <xf numFmtId="10" fontId="58" fillId="7" borderId="41" xfId="3" applyNumberFormat="1" applyFont="1" applyFill="1" applyBorder="1" applyAlignment="1" applyProtection="1">
      <alignment horizontal="center"/>
      <protection hidden="1"/>
    </xf>
    <xf numFmtId="10" fontId="58" fillId="7" borderId="45" xfId="3" applyNumberFormat="1" applyFont="1" applyFill="1" applyBorder="1" applyAlignment="1" applyProtection="1">
      <alignment horizontal="center"/>
      <protection hidden="1"/>
    </xf>
    <xf numFmtId="0" fontId="60" fillId="0" borderId="0" xfId="0" applyFont="1"/>
    <xf numFmtId="0" fontId="61" fillId="0" borderId="0" xfId="0" applyFont="1" applyAlignment="1">
      <alignment vertical="top"/>
    </xf>
    <xf numFmtId="0" fontId="0" fillId="11" borderId="0" xfId="0" applyFill="1" applyProtection="1">
      <protection hidden="1"/>
    </xf>
    <xf numFmtId="0" fontId="62" fillId="11" borderId="0" xfId="0" applyFont="1" applyFill="1" applyProtection="1">
      <protection hidden="1"/>
    </xf>
    <xf numFmtId="0" fontId="62" fillId="10" borderId="66" xfId="0" applyFont="1" applyFill="1" applyBorder="1" applyAlignment="1" applyProtection="1">
      <alignment horizontal="center"/>
      <protection hidden="1"/>
    </xf>
    <xf numFmtId="0" fontId="62" fillId="10" borderId="37" xfId="0" applyFont="1" applyFill="1" applyBorder="1" applyAlignment="1" applyProtection="1">
      <alignment horizontal="center"/>
      <protection hidden="1"/>
    </xf>
    <xf numFmtId="0" fontId="62" fillId="10" borderId="13" xfId="0" applyFont="1" applyFill="1" applyBorder="1" applyAlignment="1" applyProtection="1">
      <alignment horizontal="center"/>
      <protection hidden="1"/>
    </xf>
    <xf numFmtId="0" fontId="62" fillId="7" borderId="14" xfId="0" applyFont="1" applyFill="1" applyBorder="1" applyAlignment="1" applyProtection="1">
      <alignment horizontal="center"/>
      <protection hidden="1"/>
    </xf>
    <xf numFmtId="0" fontId="62" fillId="11" borderId="59" xfId="0" applyFont="1" applyFill="1" applyBorder="1" applyProtection="1">
      <protection hidden="1"/>
    </xf>
    <xf numFmtId="0" fontId="62" fillId="11" borderId="58" xfId="0" applyFont="1" applyFill="1" applyBorder="1" applyProtection="1">
      <protection hidden="1"/>
    </xf>
    <xf numFmtId="0" fontId="62" fillId="11" borderId="60" xfId="0" applyFont="1" applyFill="1" applyBorder="1" applyProtection="1">
      <protection hidden="1"/>
    </xf>
    <xf numFmtId="0" fontId="62" fillId="11" borderId="61" xfId="0" applyFont="1" applyFill="1" applyBorder="1" applyProtection="1">
      <protection hidden="1"/>
    </xf>
    <xf numFmtId="0" fontId="62" fillId="11" borderId="62" xfId="0" applyFont="1" applyFill="1" applyBorder="1" applyProtection="1">
      <protection hidden="1"/>
    </xf>
    <xf numFmtId="0" fontId="62" fillId="11" borderId="63" xfId="0" applyFont="1" applyFill="1" applyBorder="1" applyProtection="1">
      <protection hidden="1"/>
    </xf>
    <xf numFmtId="0" fontId="62" fillId="10" borderId="3" xfId="0" applyFont="1" applyFill="1" applyBorder="1" applyAlignment="1" applyProtection="1">
      <alignment horizontal="center"/>
      <protection hidden="1"/>
    </xf>
    <xf numFmtId="0" fontId="63" fillId="11" borderId="0" xfId="0" applyFont="1" applyFill="1" applyProtection="1">
      <protection hidden="1"/>
    </xf>
    <xf numFmtId="0" fontId="62" fillId="11" borderId="21" xfId="0" applyFont="1" applyFill="1" applyBorder="1" applyProtection="1">
      <protection hidden="1"/>
    </xf>
    <xf numFmtId="0" fontId="62" fillId="11" borderId="7" xfId="0" applyFont="1" applyFill="1" applyBorder="1" applyProtection="1">
      <protection hidden="1"/>
    </xf>
    <xf numFmtId="0" fontId="62" fillId="11" borderId="21" xfId="0" applyFont="1" applyFill="1" applyBorder="1" applyAlignment="1" applyProtection="1">
      <alignment horizontal="center"/>
      <protection hidden="1"/>
    </xf>
    <xf numFmtId="0" fontId="62" fillId="11" borderId="7" xfId="0" applyFont="1" applyFill="1" applyBorder="1" applyAlignment="1" applyProtection="1">
      <alignment horizontal="center"/>
      <protection hidden="1"/>
    </xf>
    <xf numFmtId="0" fontId="62" fillId="11" borderId="19" xfId="0" applyFont="1" applyFill="1" applyBorder="1" applyProtection="1">
      <protection hidden="1"/>
    </xf>
    <xf numFmtId="0" fontId="62" fillId="0" borderId="0" xfId="0" applyFont="1" applyProtection="1">
      <protection hidden="1"/>
    </xf>
    <xf numFmtId="0" fontId="62" fillId="0" borderId="19" xfId="0" applyFont="1" applyBorder="1" applyProtection="1">
      <protection hidden="1"/>
    </xf>
    <xf numFmtId="0" fontId="62" fillId="11" borderId="0" xfId="0" applyFont="1" applyFill="1" applyAlignment="1" applyProtection="1">
      <alignment horizontal="center"/>
      <protection hidden="1"/>
    </xf>
    <xf numFmtId="0" fontId="62" fillId="6" borderId="19" xfId="0" applyFont="1" applyFill="1" applyBorder="1" applyProtection="1">
      <protection hidden="1"/>
    </xf>
    <xf numFmtId="0" fontId="64" fillId="11" borderId="0" xfId="0" applyFont="1" applyFill="1" applyProtection="1">
      <protection hidden="1"/>
    </xf>
    <xf numFmtId="0" fontId="62" fillId="11" borderId="25" xfId="0" applyFont="1" applyFill="1" applyBorder="1" applyProtection="1">
      <protection hidden="1"/>
    </xf>
    <xf numFmtId="0" fontId="62" fillId="7" borderId="37" xfId="0" applyFont="1" applyFill="1" applyBorder="1" applyProtection="1">
      <protection hidden="1"/>
    </xf>
    <xf numFmtId="0" fontId="65" fillId="11" borderId="0" xfId="0" applyFont="1" applyFill="1" applyProtection="1">
      <protection hidden="1"/>
    </xf>
    <xf numFmtId="0" fontId="63" fillId="7" borderId="19" xfId="0" applyFont="1" applyFill="1" applyBorder="1" applyProtection="1">
      <protection hidden="1"/>
    </xf>
    <xf numFmtId="0" fontId="66" fillId="11" borderId="0" xfId="0" applyFont="1" applyFill="1" applyProtection="1">
      <protection hidden="1"/>
    </xf>
    <xf numFmtId="0" fontId="67" fillId="11" borderId="0" xfId="0" applyFont="1" applyFill="1" applyProtection="1">
      <protection hidden="1"/>
    </xf>
    <xf numFmtId="0" fontId="62" fillId="12" borderId="0" xfId="0" applyFont="1" applyFill="1" applyProtection="1">
      <protection hidden="1"/>
    </xf>
    <xf numFmtId="0" fontId="62" fillId="12" borderId="19" xfId="0" applyFont="1" applyFill="1" applyBorder="1" applyProtection="1">
      <protection hidden="1"/>
    </xf>
    <xf numFmtId="0" fontId="62" fillId="12" borderId="14" xfId="0" applyFont="1" applyFill="1" applyBorder="1" applyAlignment="1" applyProtection="1">
      <alignment horizontal="center"/>
      <protection hidden="1"/>
    </xf>
    <xf numFmtId="0" fontId="68" fillId="11" borderId="0" xfId="0" applyFont="1" applyFill="1" applyProtection="1">
      <protection hidden="1"/>
    </xf>
    <xf numFmtId="0" fontId="69" fillId="11" borderId="0" xfId="0" applyFont="1" applyFill="1" applyProtection="1">
      <protection hidden="1"/>
    </xf>
    <xf numFmtId="0" fontId="63" fillId="11" borderId="67" xfId="0" applyFont="1" applyFill="1" applyBorder="1" applyProtection="1">
      <protection hidden="1"/>
    </xf>
    <xf numFmtId="0" fontId="70" fillId="0" borderId="0" xfId="0" applyFont="1"/>
    <xf numFmtId="0" fontId="31" fillId="0" borderId="0" xfId="1" applyBorder="1" applyAlignment="1" applyProtection="1"/>
    <xf numFmtId="0" fontId="74" fillId="6" borderId="0" xfId="1" applyFont="1" applyFill="1" applyAlignment="1" applyProtection="1"/>
    <xf numFmtId="0" fontId="22" fillId="2" borderId="7" xfId="0" applyFont="1" applyFill="1" applyBorder="1" applyProtection="1">
      <protection hidden="1"/>
    </xf>
    <xf numFmtId="0" fontId="22" fillId="2" borderId="8" xfId="0" applyFont="1" applyFill="1" applyBorder="1" applyProtection="1">
      <protection hidden="1"/>
    </xf>
    <xf numFmtId="0" fontId="16" fillId="0" borderId="0" xfId="0" applyFont="1" applyAlignment="1" applyProtection="1">
      <alignment vertical="center"/>
      <protection hidden="1"/>
    </xf>
    <xf numFmtId="0" fontId="0" fillId="0" borderId="3" xfId="0" applyBorder="1"/>
    <xf numFmtId="0" fontId="0" fillId="0" borderId="18" xfId="0" applyBorder="1"/>
    <xf numFmtId="0" fontId="76" fillId="0" borderId="0" xfId="0" applyFont="1"/>
    <xf numFmtId="14" fontId="76" fillId="0" borderId="0" xfId="0" applyNumberFormat="1" applyFont="1"/>
    <xf numFmtId="0" fontId="34" fillId="8" borderId="40" xfId="0" applyFont="1" applyFill="1" applyBorder="1" applyAlignment="1" applyProtection="1">
      <alignment horizontal="center"/>
      <protection hidden="1"/>
    </xf>
    <xf numFmtId="0" fontId="34" fillId="8" borderId="44" xfId="0" applyFont="1" applyFill="1" applyBorder="1" applyAlignment="1" applyProtection="1">
      <alignment horizontal="center"/>
      <protection hidden="1"/>
    </xf>
    <xf numFmtId="0" fontId="29" fillId="2" borderId="6" xfId="0" applyFont="1" applyFill="1" applyBorder="1" applyProtection="1">
      <protection hidden="1"/>
    </xf>
    <xf numFmtId="0" fontId="0" fillId="0" borderId="14" xfId="0" applyBorder="1"/>
    <xf numFmtId="0" fontId="23" fillId="0" borderId="1" xfId="0" applyFont="1" applyBorder="1"/>
    <xf numFmtId="0" fontId="0" fillId="0" borderId="12" xfId="0" applyBorder="1"/>
    <xf numFmtId="0" fontId="0" fillId="0" borderId="20" xfId="0" applyBorder="1"/>
    <xf numFmtId="0" fontId="0" fillId="0" borderId="13" xfId="0" applyBorder="1"/>
    <xf numFmtId="179" fontId="0" fillId="16" borderId="12" xfId="0" applyNumberFormat="1" applyFill="1" applyBorder="1"/>
    <xf numFmtId="179" fontId="0" fillId="16" borderId="15" xfId="0" applyNumberFormat="1" applyFill="1" applyBorder="1"/>
    <xf numFmtId="179" fontId="0" fillId="16" borderId="8" xfId="0" applyNumberFormat="1" applyFill="1" applyBorder="1"/>
    <xf numFmtId="179" fontId="0" fillId="16" borderId="14" xfId="0" applyNumberFormat="1" applyFill="1" applyBorder="1"/>
    <xf numFmtId="0" fontId="0" fillId="0" borderId="6" xfId="0" applyBorder="1"/>
    <xf numFmtId="0" fontId="0" fillId="0" borderId="8" xfId="0" applyBorder="1"/>
    <xf numFmtId="14" fontId="70" fillId="0" borderId="0" xfId="0" applyNumberFormat="1" applyFont="1"/>
    <xf numFmtId="0" fontId="0" fillId="16" borderId="14" xfId="0" applyFill="1" applyBorder="1"/>
    <xf numFmtId="0" fontId="0" fillId="16" borderId="14" xfId="0" applyFill="1" applyBorder="1" applyAlignment="1">
      <alignment wrapText="1"/>
    </xf>
    <xf numFmtId="0" fontId="0" fillId="7" borderId="14" xfId="0" applyFill="1" applyBorder="1"/>
    <xf numFmtId="1" fontId="0" fillId="0" borderId="14" xfId="0" applyNumberFormat="1" applyBorder="1"/>
    <xf numFmtId="2" fontId="0" fillId="0" borderId="14" xfId="0" applyNumberFormat="1" applyBorder="1"/>
    <xf numFmtId="10" fontId="0" fillId="0" borderId="14" xfId="3" applyNumberFormat="1" applyFont="1" applyBorder="1"/>
    <xf numFmtId="0" fontId="0" fillId="7" borderId="35" xfId="0" applyFill="1" applyBorder="1"/>
    <xf numFmtId="1" fontId="0" fillId="0" borderId="35" xfId="0" applyNumberFormat="1" applyBorder="1"/>
    <xf numFmtId="2" fontId="0" fillId="0" borderId="35" xfId="0" applyNumberFormat="1" applyBorder="1"/>
    <xf numFmtId="0" fontId="0" fillId="0" borderId="35" xfId="0" applyBorder="1"/>
    <xf numFmtId="10" fontId="0" fillId="0" borderId="35" xfId="3" applyNumberFormat="1" applyFont="1" applyBorder="1"/>
    <xf numFmtId="0" fontId="0" fillId="7" borderId="21" xfId="0" applyFill="1" applyBorder="1" applyAlignment="1">
      <alignment wrapText="1"/>
    </xf>
    <xf numFmtId="1" fontId="0" fillId="0" borderId="21" xfId="0" applyNumberFormat="1" applyBorder="1"/>
    <xf numFmtId="0" fontId="0" fillId="0" borderId="21" xfId="0" applyBorder="1"/>
    <xf numFmtId="9" fontId="0" fillId="0" borderId="21" xfId="0" applyNumberFormat="1" applyBorder="1"/>
    <xf numFmtId="0" fontId="78" fillId="0" borderId="21" xfId="0" applyFont="1" applyBorder="1"/>
    <xf numFmtId="0" fontId="78" fillId="0" borderId="18" xfId="0" applyFont="1" applyBorder="1"/>
    <xf numFmtId="0" fontId="78" fillId="0" borderId="13" xfId="0" applyFont="1" applyBorder="1"/>
    <xf numFmtId="0" fontId="0" fillId="0" borderId="77" xfId="0" applyBorder="1"/>
    <xf numFmtId="0" fontId="0" fillId="0" borderId="75" xfId="0" applyBorder="1"/>
    <xf numFmtId="179" fontId="0" fillId="0" borderId="14" xfId="0" applyNumberFormat="1" applyBorder="1"/>
    <xf numFmtId="0" fontId="0" fillId="7" borderId="75" xfId="0" applyFill="1" applyBorder="1" applyAlignment="1">
      <alignment wrapText="1"/>
    </xf>
    <xf numFmtId="44" fontId="0" fillId="17" borderId="18" xfId="2" applyFont="1" applyFill="1" applyBorder="1" applyProtection="1">
      <protection locked="0"/>
    </xf>
    <xf numFmtId="177" fontId="0" fillId="6" borderId="12" xfId="0" applyNumberFormat="1" applyFill="1" applyBorder="1" applyAlignment="1">
      <alignment horizontal="center"/>
    </xf>
    <xf numFmtId="177" fontId="0" fillId="16" borderId="24" xfId="0" applyNumberFormat="1" applyFill="1" applyBorder="1" applyAlignment="1">
      <alignment horizontal="center"/>
    </xf>
    <xf numFmtId="0" fontId="0" fillId="6" borderId="32" xfId="0" applyFill="1" applyBorder="1"/>
    <xf numFmtId="0" fontId="0" fillId="6" borderId="32" xfId="0" applyFill="1" applyBorder="1" applyAlignment="1">
      <alignment wrapText="1"/>
    </xf>
    <xf numFmtId="44" fontId="0" fillId="6" borderId="14" xfId="2" applyFont="1" applyFill="1" applyBorder="1" applyProtection="1"/>
    <xf numFmtId="44" fontId="0" fillId="18" borderId="14" xfId="2" applyFont="1" applyFill="1" applyBorder="1" applyProtection="1"/>
    <xf numFmtId="173" fontId="0" fillId="6" borderId="14" xfId="0" applyNumberFormat="1" applyFill="1" applyBorder="1" applyAlignment="1">
      <alignment horizontal="center"/>
    </xf>
    <xf numFmtId="177" fontId="0" fillId="7" borderId="12" xfId="0" applyNumberFormat="1" applyFill="1" applyBorder="1" applyAlignment="1">
      <alignment horizontal="center"/>
    </xf>
    <xf numFmtId="44" fontId="0" fillId="18" borderId="2" xfId="2" applyFont="1" applyFill="1" applyBorder="1" applyProtection="1"/>
    <xf numFmtId="44" fontId="0" fillId="18" borderId="12" xfId="2" applyFont="1" applyFill="1" applyBorder="1" applyProtection="1"/>
    <xf numFmtId="44" fontId="23" fillId="16" borderId="34" xfId="2" applyFont="1" applyFill="1" applyBorder="1" applyAlignment="1" applyProtection="1">
      <alignment horizontal="center"/>
    </xf>
    <xf numFmtId="44" fontId="23" fillId="16" borderId="35" xfId="2" applyFont="1" applyFill="1" applyBorder="1" applyAlignment="1" applyProtection="1">
      <alignment horizontal="center"/>
    </xf>
    <xf numFmtId="44" fontId="23" fillId="16" borderId="36" xfId="2" applyFont="1" applyFill="1" applyBorder="1" applyAlignment="1" applyProtection="1">
      <alignment horizontal="center"/>
    </xf>
    <xf numFmtId="0" fontId="23" fillId="6" borderId="0" xfId="0" applyFont="1" applyFill="1" applyAlignment="1">
      <alignment horizontal="center"/>
    </xf>
    <xf numFmtId="177" fontId="0" fillId="16" borderId="1" xfId="0" applyNumberFormat="1" applyFill="1" applyBorder="1" applyAlignment="1">
      <alignment horizontal="center"/>
    </xf>
    <xf numFmtId="0" fontId="0" fillId="6" borderId="14" xfId="0" applyFill="1" applyBorder="1"/>
    <xf numFmtId="0" fontId="0" fillId="6" borderId="14" xfId="0" applyFill="1" applyBorder="1" applyAlignment="1">
      <alignment wrapText="1"/>
    </xf>
    <xf numFmtId="0" fontId="20" fillId="2" borderId="14" xfId="0" applyFont="1" applyFill="1" applyBorder="1"/>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20" fillId="19" borderId="22" xfId="0" applyFont="1" applyFill="1" applyBorder="1"/>
    <xf numFmtId="0" fontId="20" fillId="2" borderId="32" xfId="0" applyFont="1" applyFill="1" applyBorder="1"/>
    <xf numFmtId="0" fontId="0" fillId="16" borderId="32" xfId="0" applyFill="1" applyBorder="1"/>
    <xf numFmtId="0" fontId="0" fillId="16" borderId="12" xfId="0" applyFill="1" applyBorder="1"/>
    <xf numFmtId="0" fontId="0" fillId="2" borderId="20" xfId="0" applyFill="1" applyBorder="1"/>
    <xf numFmtId="0" fontId="0" fillId="16" borderId="2" xfId="0" applyFill="1" applyBorder="1"/>
    <xf numFmtId="0" fontId="0" fillId="2" borderId="14" xfId="0" applyFill="1" applyBorder="1"/>
    <xf numFmtId="0" fontId="0" fillId="2" borderId="12" xfId="0" applyFill="1" applyBorder="1"/>
    <xf numFmtId="0" fontId="23" fillId="0" borderId="0" xfId="0" applyFont="1"/>
    <xf numFmtId="0" fontId="0" fillId="0" borderId="0" xfId="0" applyAlignment="1">
      <alignment horizontal="center"/>
    </xf>
    <xf numFmtId="0" fontId="15" fillId="0" borderId="0" xfId="0" applyFont="1"/>
    <xf numFmtId="0" fontId="15" fillId="0" borderId="7" xfId="0" applyFont="1" applyBorder="1"/>
    <xf numFmtId="0" fontId="15" fillId="0" borderId="4" xfId="0" applyFont="1" applyBorder="1"/>
    <xf numFmtId="0" fontId="25" fillId="6" borderId="4" xfId="0" applyFont="1" applyFill="1" applyBorder="1"/>
    <xf numFmtId="0" fontId="22" fillId="2" borderId="12" xfId="0" applyFont="1" applyFill="1" applyBorder="1"/>
    <xf numFmtId="0" fontId="0" fillId="2" borderId="18" xfId="0" applyFill="1" applyBorder="1"/>
    <xf numFmtId="0" fontId="0" fillId="2" borderId="13" xfId="0" applyFill="1" applyBorder="1"/>
    <xf numFmtId="0" fontId="0" fillId="2" borderId="0" xfId="0" applyFill="1"/>
    <xf numFmtId="0" fontId="12" fillId="2" borderId="0" xfId="0" applyFont="1" applyFill="1"/>
    <xf numFmtId="0" fontId="47" fillId="2" borderId="0" xfId="0" applyFont="1" applyFill="1"/>
    <xf numFmtId="14" fontId="0" fillId="0" borderId="0" xfId="0" applyNumberFormat="1"/>
    <xf numFmtId="0" fontId="20" fillId="0" borderId="1" xfId="0" applyFont="1" applyBorder="1"/>
    <xf numFmtId="14" fontId="0" fillId="16" borderId="14" xfId="0" applyNumberFormat="1" applyFill="1" applyBorder="1" applyAlignment="1">
      <alignment horizontal="center"/>
    </xf>
    <xf numFmtId="0" fontId="0" fillId="16" borderId="71" xfId="0" applyFill="1" applyBorder="1"/>
    <xf numFmtId="168" fontId="47" fillId="6" borderId="0" xfId="0" applyNumberFormat="1" applyFont="1" applyFill="1"/>
    <xf numFmtId="0" fontId="20" fillId="2" borderId="1" xfId="0" applyFont="1" applyFill="1" applyBorder="1"/>
    <xf numFmtId="0" fontId="0" fillId="2" borderId="2" xfId="0" applyFill="1" applyBorder="1"/>
    <xf numFmtId="178" fontId="0" fillId="0" borderId="18" xfId="0" applyNumberFormat="1" applyBorder="1" applyAlignment="1">
      <alignment horizontal="right"/>
    </xf>
    <xf numFmtId="0" fontId="0" fillId="0" borderId="18" xfId="0" applyBorder="1" applyAlignment="1">
      <alignment horizontal="right"/>
    </xf>
    <xf numFmtId="0" fontId="0" fillId="0" borderId="0" xfId="0" applyAlignment="1">
      <alignment horizontal="right"/>
    </xf>
    <xf numFmtId="178" fontId="0" fillId="0" borderId="12" xfId="0" applyNumberFormat="1" applyBorder="1" applyAlignment="1">
      <alignment horizontal="right"/>
    </xf>
    <xf numFmtId="0" fontId="0" fillId="0" borderId="12" xfId="0" applyBorder="1" applyAlignment="1">
      <alignment horizontal="right"/>
    </xf>
    <xf numFmtId="0" fontId="0" fillId="0" borderId="4" xfId="0" applyBorder="1" applyAlignment="1">
      <alignment horizontal="right"/>
    </xf>
    <xf numFmtId="178" fontId="15" fillId="0" borderId="5" xfId="0" applyNumberFormat="1" applyFont="1" applyBorder="1"/>
    <xf numFmtId="0" fontId="15" fillId="0" borderId="5" xfId="0" applyFont="1" applyBorder="1"/>
    <xf numFmtId="0" fontId="13" fillId="0" borderId="0" xfId="0" applyFont="1"/>
    <xf numFmtId="0" fontId="14" fillId="0" borderId="0" xfId="0" applyFont="1"/>
    <xf numFmtId="0" fontId="0" fillId="6" borderId="0" xfId="0" applyFill="1"/>
    <xf numFmtId="0" fontId="0" fillId="6" borderId="5" xfId="0" applyFill="1" applyBorder="1"/>
    <xf numFmtId="0" fontId="47" fillId="0" borderId="5" xfId="0" applyFont="1" applyBorder="1"/>
    <xf numFmtId="0" fontId="47" fillId="0" borderId="7" xfId="0" applyFont="1" applyBorder="1"/>
    <xf numFmtId="0" fontId="47" fillId="0" borderId="8" xfId="0" applyFont="1" applyBorder="1"/>
    <xf numFmtId="0" fontId="14" fillId="0" borderId="5" xfId="0" applyFont="1" applyBorder="1"/>
    <xf numFmtId="0" fontId="14" fillId="6" borderId="0" xfId="0" applyFont="1" applyFill="1"/>
    <xf numFmtId="0" fontId="0" fillId="2" borderId="59" xfId="0" applyFill="1" applyBorder="1"/>
    <xf numFmtId="0" fontId="23" fillId="0" borderId="32" xfId="0" applyFont="1" applyBorder="1" applyAlignment="1">
      <alignment horizontal="center"/>
    </xf>
    <xf numFmtId="44" fontId="23" fillId="6" borderId="0" xfId="2" applyFont="1" applyFill="1" applyBorder="1" applyAlignment="1" applyProtection="1">
      <alignment horizontal="center"/>
    </xf>
    <xf numFmtId="0" fontId="23" fillId="0" borderId="14" xfId="0" applyFont="1" applyBorder="1" applyAlignment="1">
      <alignment horizontal="center"/>
    </xf>
    <xf numFmtId="0" fontId="23" fillId="0" borderId="33" xfId="0" applyFont="1" applyBorder="1" applyAlignment="1">
      <alignment horizontal="center"/>
    </xf>
    <xf numFmtId="0" fontId="21" fillId="0" borderId="0" xfId="0" applyFont="1"/>
    <xf numFmtId="0" fontId="20" fillId="2" borderId="70" xfId="0" applyFont="1" applyFill="1" applyBorder="1"/>
    <xf numFmtId="0" fontId="0" fillId="2" borderId="64" xfId="0" applyFill="1" applyBorder="1"/>
    <xf numFmtId="0" fontId="0" fillId="2" borderId="65" xfId="0" applyFill="1" applyBorder="1"/>
    <xf numFmtId="0" fontId="20" fillId="2" borderId="12" xfId="0" applyFont="1" applyFill="1" applyBorder="1"/>
    <xf numFmtId="0" fontId="0" fillId="0" borderId="19" xfId="0" applyBorder="1" applyAlignment="1">
      <alignment horizontal="right"/>
    </xf>
    <xf numFmtId="0" fontId="0" fillId="0" borderId="14" xfId="0" applyBorder="1" applyAlignment="1">
      <alignment horizontal="right"/>
    </xf>
    <xf numFmtId="0" fontId="0" fillId="0" borderId="13" xfId="0" applyBorder="1" applyAlignment="1">
      <alignment horizontal="right"/>
    </xf>
    <xf numFmtId="0" fontId="0" fillId="6" borderId="19" xfId="0" applyFill="1" applyBorder="1" applyAlignment="1">
      <alignment horizontal="right"/>
    </xf>
    <xf numFmtId="0" fontId="0" fillId="0" borderId="5" xfId="0" applyBorder="1" applyAlignment="1">
      <alignment horizontal="right"/>
    </xf>
    <xf numFmtId="0" fontId="0" fillId="2" borderId="43" xfId="0" applyFill="1" applyBorder="1"/>
    <xf numFmtId="0" fontId="0" fillId="16" borderId="13" xfId="0" applyFill="1" applyBorder="1"/>
    <xf numFmtId="0" fontId="0" fillId="7" borderId="4" xfId="0" applyFill="1" applyBorder="1"/>
    <xf numFmtId="168" fontId="0" fillId="7" borderId="4" xfId="0" applyNumberFormat="1" applyFill="1" applyBorder="1"/>
    <xf numFmtId="44" fontId="23" fillId="6" borderId="72" xfId="2" applyFont="1" applyFill="1" applyBorder="1" applyAlignment="1" applyProtection="1">
      <alignment horizontal="center"/>
    </xf>
    <xf numFmtId="44" fontId="23" fillId="6" borderId="58" xfId="2" applyFont="1" applyFill="1" applyBorder="1" applyAlignment="1" applyProtection="1">
      <alignment horizontal="center"/>
    </xf>
    <xf numFmtId="0" fontId="0" fillId="6" borderId="7" xfId="0" applyFill="1" applyBorder="1"/>
    <xf numFmtId="0" fontId="19" fillId="6" borderId="0" xfId="0" applyFont="1" applyFill="1"/>
    <xf numFmtId="0" fontId="47" fillId="0" borderId="0" xfId="0" applyFont="1"/>
    <xf numFmtId="0" fontId="29" fillId="6" borderId="0" xfId="0" applyFont="1" applyFill="1"/>
    <xf numFmtId="0" fontId="18" fillId="6" borderId="0" xfId="0" applyFont="1" applyFill="1"/>
    <xf numFmtId="0" fontId="32" fillId="6" borderId="0" xfId="0" applyFont="1" applyFill="1"/>
    <xf numFmtId="0" fontId="18" fillId="6" borderId="4" xfId="0" applyFont="1" applyFill="1" applyBorder="1"/>
    <xf numFmtId="0" fontId="18" fillId="6" borderId="5" xfId="0" applyFont="1" applyFill="1" applyBorder="1"/>
    <xf numFmtId="0" fontId="0" fillId="6" borderId="4" xfId="0" applyFill="1" applyBorder="1"/>
    <xf numFmtId="0" fontId="43" fillId="0" borderId="0" xfId="0" applyFont="1" applyAlignment="1">
      <alignment horizontal="left"/>
    </xf>
    <xf numFmtId="0" fontId="18" fillId="6" borderId="0" xfId="0" applyFont="1" applyFill="1" applyAlignment="1">
      <alignment horizontal="left"/>
    </xf>
    <xf numFmtId="0" fontId="29" fillId="6" borderId="4" xfId="0" applyFont="1" applyFill="1" applyBorder="1"/>
    <xf numFmtId="0" fontId="22" fillId="6" borderId="0" xfId="0" applyFont="1" applyFill="1"/>
    <xf numFmtId="0" fontId="24" fillId="6" borderId="4" xfId="0" applyFont="1" applyFill="1" applyBorder="1"/>
    <xf numFmtId="0" fontId="55" fillId="6" borderId="0" xfId="0" applyFont="1" applyFill="1"/>
    <xf numFmtId="0" fontId="24" fillId="6" borderId="1" xfId="0" applyFont="1" applyFill="1" applyBorder="1"/>
    <xf numFmtId="0" fontId="18" fillId="6" borderId="2" xfId="0" applyFont="1" applyFill="1" applyBorder="1"/>
    <xf numFmtId="0" fontId="18" fillId="6" borderId="3" xfId="0" applyFont="1" applyFill="1" applyBorder="1"/>
    <xf numFmtId="0" fontId="0" fillId="6" borderId="6" xfId="0" applyFill="1" applyBorder="1"/>
    <xf numFmtId="0" fontId="18" fillId="6" borderId="7" xfId="0" applyFont="1" applyFill="1" applyBorder="1"/>
    <xf numFmtId="0" fontId="18" fillId="6" borderId="8" xfId="0" applyFont="1" applyFill="1" applyBorder="1"/>
    <xf numFmtId="0" fontId="29" fillId="6" borderId="5" xfId="0" applyFont="1" applyFill="1" applyBorder="1"/>
    <xf numFmtId="0" fontId="21" fillId="6" borderId="4" xfId="0" applyFont="1" applyFill="1" applyBorder="1"/>
    <xf numFmtId="0" fontId="56" fillId="6" borderId="5" xfId="0" applyFont="1" applyFill="1" applyBorder="1"/>
    <xf numFmtId="0" fontId="18" fillId="6" borderId="6" xfId="0" applyFont="1" applyFill="1" applyBorder="1"/>
    <xf numFmtId="177" fontId="0" fillId="6" borderId="33" xfId="0" applyNumberFormat="1" applyFill="1" applyBorder="1" applyAlignment="1">
      <alignment horizontal="center"/>
    </xf>
    <xf numFmtId="10" fontId="0" fillId="0" borderId="0" xfId="0" applyNumberFormat="1" applyAlignment="1">
      <alignment horizontal="center"/>
    </xf>
    <xf numFmtId="0" fontId="0" fillId="20" borderId="14" xfId="0" applyFill="1" applyBorder="1"/>
    <xf numFmtId="173" fontId="0" fillId="20" borderId="14" xfId="0" applyNumberFormat="1" applyFill="1" applyBorder="1" applyAlignment="1">
      <alignment horizontal="center"/>
    </xf>
    <xf numFmtId="177" fontId="0" fillId="20" borderId="12" xfId="0" applyNumberFormat="1" applyFill="1" applyBorder="1" applyAlignment="1">
      <alignment horizontal="center"/>
    </xf>
    <xf numFmtId="14" fontId="70" fillId="8" borderId="0" xfId="0" applyNumberFormat="1" applyFont="1" applyFill="1"/>
    <xf numFmtId="14" fontId="35" fillId="8" borderId="0" xfId="0" applyNumberFormat="1" applyFont="1" applyFill="1"/>
    <xf numFmtId="0" fontId="0" fillId="8" borderId="0" xfId="0" applyFill="1"/>
    <xf numFmtId="0" fontId="76" fillId="8" borderId="0" xfId="0" applyFont="1" applyFill="1"/>
    <xf numFmtId="0" fontId="70" fillId="8" borderId="0" xfId="0" applyFont="1" applyFill="1"/>
    <xf numFmtId="0" fontId="19" fillId="8" borderId="0" xfId="0" applyFont="1" applyFill="1"/>
    <xf numFmtId="0" fontId="35" fillId="8" borderId="0" xfId="0" applyFont="1" applyFill="1"/>
    <xf numFmtId="0" fontId="25" fillId="0" borderId="4" xfId="0" applyFont="1" applyBorder="1"/>
    <xf numFmtId="14" fontId="0" fillId="8" borderId="0" xfId="0" applyNumberFormat="1" applyFill="1"/>
    <xf numFmtId="0" fontId="73" fillId="8" borderId="0" xfId="0" applyFont="1" applyFill="1"/>
    <xf numFmtId="14" fontId="61" fillId="8" borderId="0" xfId="0" applyNumberFormat="1" applyFont="1" applyFill="1"/>
    <xf numFmtId="0" fontId="0" fillId="3" borderId="0" xfId="0" applyFill="1"/>
    <xf numFmtId="0" fontId="29" fillId="0" borderId="4" xfId="0" applyFont="1" applyBorder="1"/>
    <xf numFmtId="0" fontId="24" fillId="0" borderId="0" xfId="0" applyFont="1"/>
    <xf numFmtId="2" fontId="29" fillId="0" borderId="0" xfId="0" applyNumberFormat="1" applyFont="1" applyAlignment="1">
      <alignment horizontal="right"/>
    </xf>
    <xf numFmtId="2" fontId="29" fillId="0" borderId="0" xfId="0" applyNumberFormat="1" applyFont="1" applyAlignment="1">
      <alignment horizontal="center"/>
    </xf>
    <xf numFmtId="0" fontId="17" fillId="0" borderId="4" xfId="0" applyFont="1" applyBorder="1"/>
    <xf numFmtId="0" fontId="17" fillId="0" borderId="0" xfId="0" applyFont="1"/>
    <xf numFmtId="14" fontId="17" fillId="0" borderId="0" xfId="0" applyNumberFormat="1" applyFont="1" applyAlignment="1">
      <alignment horizontal="right"/>
    </xf>
    <xf numFmtId="14" fontId="17" fillId="0" borderId="0" xfId="0" applyNumberFormat="1" applyFont="1" applyAlignment="1">
      <alignment horizontal="center" vertical="top"/>
    </xf>
    <xf numFmtId="14" fontId="17" fillId="0" borderId="0" xfId="0" applyNumberFormat="1" applyFont="1" applyAlignment="1">
      <alignment horizontal="right" vertical="top"/>
    </xf>
    <xf numFmtId="0" fontId="17" fillId="0" borderId="5" xfId="0" applyFont="1" applyBorder="1"/>
    <xf numFmtId="0" fontId="17" fillId="8" borderId="0" xfId="0" applyFont="1" applyFill="1"/>
    <xf numFmtId="0" fontId="24" fillId="2" borderId="0" xfId="0" applyFont="1" applyFill="1"/>
    <xf numFmtId="0" fontId="30" fillId="0" borderId="2" xfId="0" applyFont="1" applyBorder="1" applyAlignment="1">
      <alignment vertical="top"/>
    </xf>
    <xf numFmtId="0" fontId="23" fillId="0" borderId="2" xfId="0" applyFont="1" applyBorder="1"/>
    <xf numFmtId="0" fontId="30" fillId="0" borderId="2" xfId="0" applyFont="1" applyBorder="1" applyAlignment="1">
      <alignment horizontal="center" vertical="top"/>
    </xf>
    <xf numFmtId="0" fontId="28" fillId="8" borderId="0" xfId="0" applyFont="1" applyFill="1"/>
    <xf numFmtId="0" fontId="17" fillId="0" borderId="16" xfId="0" applyFont="1" applyBorder="1"/>
    <xf numFmtId="0" fontId="17" fillId="0" borderId="17" xfId="0" applyFont="1" applyBorder="1"/>
    <xf numFmtId="0" fontId="47" fillId="0" borderId="0" xfId="0" applyFont="1" applyAlignment="1">
      <alignment vertical="top" wrapText="1"/>
    </xf>
    <xf numFmtId="0" fontId="47" fillId="0" borderId="5" xfId="0" applyFont="1" applyBorder="1" applyAlignment="1">
      <alignment vertical="top" wrapText="1"/>
    </xf>
    <xf numFmtId="0" fontId="17" fillId="0" borderId="7" xfId="0" applyFont="1" applyBorder="1"/>
    <xf numFmtId="0" fontId="47" fillId="0" borderId="7" xfId="0" applyFont="1" applyBorder="1" applyAlignment="1">
      <alignment vertical="top" wrapText="1"/>
    </xf>
    <xf numFmtId="0" fontId="28" fillId="6" borderId="7" xfId="0" applyFont="1" applyFill="1" applyBorder="1"/>
    <xf numFmtId="0" fontId="17" fillId="0" borderId="8" xfId="0" applyFont="1" applyBorder="1"/>
    <xf numFmtId="0" fontId="0" fillId="6" borderId="43" xfId="0" applyFill="1" applyBorder="1"/>
    <xf numFmtId="0" fontId="0" fillId="6" borderId="80" xfId="0" applyFill="1" applyBorder="1" applyAlignment="1">
      <alignment horizontal="center"/>
    </xf>
    <xf numFmtId="0" fontId="0" fillId="0" borderId="32" xfId="0" applyBorder="1" applyAlignment="1">
      <alignment horizontal="center"/>
    </xf>
    <xf numFmtId="0" fontId="0" fillId="0" borderId="14" xfId="0" applyBorder="1" applyAlignment="1">
      <alignment horizontal="center" wrapText="1"/>
    </xf>
    <xf numFmtId="0" fontId="0" fillId="0" borderId="14" xfId="0" applyBorder="1" applyAlignment="1">
      <alignment horizontal="center"/>
    </xf>
    <xf numFmtId="0" fontId="0" fillId="0" borderId="33" xfId="0" applyBorder="1" applyAlignment="1">
      <alignment horizontal="center" wrapText="1"/>
    </xf>
    <xf numFmtId="0" fontId="0" fillId="0" borderId="12" xfId="0" applyBorder="1" applyAlignment="1">
      <alignment horizontal="center" wrapText="1"/>
    </xf>
    <xf numFmtId="0" fontId="0" fillId="0" borderId="81" xfId="0" applyBorder="1" applyAlignment="1">
      <alignment horizontal="center" vertical="center"/>
    </xf>
    <xf numFmtId="1" fontId="0" fillId="21" borderId="32" xfId="0" applyNumberFormat="1" applyFill="1" applyBorder="1" applyAlignment="1">
      <alignment horizontal="center"/>
    </xf>
    <xf numFmtId="173" fontId="0" fillId="21" borderId="14" xfId="0" applyNumberFormat="1" applyFill="1" applyBorder="1" applyAlignment="1">
      <alignment horizontal="center"/>
    </xf>
    <xf numFmtId="179" fontId="0" fillId="7" borderId="14" xfId="0" applyNumberFormat="1" applyFill="1" applyBorder="1" applyAlignment="1">
      <alignment horizontal="center"/>
    </xf>
    <xf numFmtId="10" fontId="0" fillId="7" borderId="33" xfId="3" applyNumberFormat="1" applyFont="1" applyFill="1" applyBorder="1" applyAlignment="1">
      <alignment horizontal="center"/>
    </xf>
    <xf numFmtId="179" fontId="0" fillId="7" borderId="32" xfId="0" applyNumberFormat="1" applyFill="1" applyBorder="1" applyAlignment="1">
      <alignment horizontal="center"/>
    </xf>
    <xf numFmtId="173" fontId="0" fillId="21" borderId="12" xfId="0" applyNumberFormat="1" applyFill="1" applyBorder="1" applyAlignment="1">
      <alignment horizontal="center"/>
    </xf>
    <xf numFmtId="179" fontId="81" fillId="7" borderId="81" xfId="0" applyNumberFormat="1" applyFont="1" applyFill="1" applyBorder="1" applyAlignment="1">
      <alignment horizontal="center"/>
    </xf>
    <xf numFmtId="1" fontId="0" fillId="21" borderId="82" xfId="0" applyNumberFormat="1" applyFill="1" applyBorder="1" applyAlignment="1">
      <alignment horizontal="center"/>
    </xf>
    <xf numFmtId="179" fontId="0" fillId="7" borderId="20" xfId="0" applyNumberFormat="1" applyFill="1" applyBorder="1" applyAlignment="1">
      <alignment horizontal="center"/>
    </xf>
    <xf numFmtId="0" fontId="0" fillId="0" borderId="83" xfId="0" applyBorder="1" applyAlignment="1">
      <alignment horizontal="center" vertical="center"/>
    </xf>
    <xf numFmtId="1" fontId="0" fillId="6" borderId="84" xfId="0" applyNumberFormat="1" applyFill="1" applyBorder="1"/>
    <xf numFmtId="173" fontId="0" fillId="6" borderId="77" xfId="0" applyNumberFormat="1" applyFill="1" applyBorder="1" applyAlignment="1">
      <alignment horizontal="center"/>
    </xf>
    <xf numFmtId="179" fontId="0" fillId="18" borderId="75" xfId="0" applyNumberFormat="1" applyFill="1" applyBorder="1" applyAlignment="1">
      <alignment horizontal="center"/>
    </xf>
    <xf numFmtId="10" fontId="0" fillId="18" borderId="85" xfId="3" applyNumberFormat="1" applyFont="1" applyFill="1" applyBorder="1" applyAlignment="1">
      <alignment horizontal="center"/>
    </xf>
    <xf numFmtId="179" fontId="0" fillId="6" borderId="31" xfId="0" applyNumberFormat="1" applyFill="1" applyBorder="1" applyAlignment="1">
      <alignment horizontal="center"/>
    </xf>
    <xf numFmtId="0" fontId="81" fillId="6" borderId="86" xfId="0" applyFont="1" applyFill="1" applyBorder="1"/>
    <xf numFmtId="0" fontId="0" fillId="0" borderId="7" xfId="0" applyBorder="1" applyAlignment="1">
      <alignment vertical="center" wrapText="1"/>
    </xf>
    <xf numFmtId="179" fontId="0" fillId="21" borderId="21" xfId="0" applyNumberFormat="1" applyFill="1" applyBorder="1" applyAlignment="1">
      <alignment horizontal="center"/>
    </xf>
    <xf numFmtId="0" fontId="0" fillId="6" borderId="31" xfId="0" applyFill="1" applyBorder="1"/>
    <xf numFmtId="0" fontId="0" fillId="16" borderId="24" xfId="0" applyFill="1" applyBorder="1" applyAlignment="1">
      <alignment horizontal="center" vertical="center"/>
    </xf>
    <xf numFmtId="1" fontId="0" fillId="16" borderId="89" xfId="0" applyNumberFormat="1" applyFill="1" applyBorder="1" applyAlignment="1">
      <alignment horizontal="center"/>
    </xf>
    <xf numFmtId="0" fontId="0" fillId="6" borderId="90" xfId="0" applyFill="1" applyBorder="1"/>
    <xf numFmtId="179" fontId="0" fillId="16" borderId="75" xfId="0" applyNumberFormat="1" applyFill="1" applyBorder="1" applyAlignment="1">
      <alignment horizontal="center"/>
    </xf>
    <xf numFmtId="10" fontId="0" fillId="6" borderId="24" xfId="3" applyNumberFormat="1" applyFont="1" applyFill="1" applyBorder="1" applyAlignment="1">
      <alignment horizontal="center"/>
    </xf>
    <xf numFmtId="179" fontId="0" fillId="16" borderId="89" xfId="0" applyNumberFormat="1" applyFill="1" applyBorder="1" applyAlignment="1">
      <alignment horizontal="center"/>
    </xf>
    <xf numFmtId="179" fontId="81" fillId="16" borderId="91" xfId="0" applyNumberFormat="1" applyFont="1" applyFill="1" applyBorder="1" applyAlignment="1">
      <alignment horizontal="center"/>
    </xf>
    <xf numFmtId="0" fontId="0" fillId="7" borderId="0" xfId="0" applyFill="1" applyAlignment="1">
      <alignment wrapText="1"/>
    </xf>
    <xf numFmtId="173" fontId="0" fillId="6" borderId="0" xfId="0" applyNumberFormat="1" applyFill="1" applyAlignment="1">
      <alignment horizontal="center"/>
    </xf>
    <xf numFmtId="175" fontId="0" fillId="6" borderId="14" xfId="0" applyNumberFormat="1" applyFill="1" applyBorder="1" applyAlignment="1">
      <alignment horizontal="center"/>
    </xf>
    <xf numFmtId="176" fontId="0" fillId="6" borderId="14" xfId="0" applyNumberFormat="1" applyFill="1" applyBorder="1" applyAlignment="1">
      <alignment horizontal="center"/>
    </xf>
    <xf numFmtId="0" fontId="11" fillId="0" borderId="0" xfId="0" applyFont="1"/>
    <xf numFmtId="14" fontId="17" fillId="6" borderId="0" xfId="0" applyNumberFormat="1" applyFont="1" applyFill="1" applyAlignment="1">
      <alignment horizontal="center" vertical="top"/>
    </xf>
    <xf numFmtId="14" fontId="17" fillId="6" borderId="0" xfId="0" applyNumberFormat="1" applyFont="1" applyFill="1" applyAlignment="1">
      <alignment horizontal="right" vertical="top"/>
    </xf>
    <xf numFmtId="0" fontId="0" fillId="6" borderId="0" xfId="0" applyFill="1" applyAlignment="1">
      <alignment wrapText="1" shrinkToFit="1"/>
    </xf>
    <xf numFmtId="0" fontId="24" fillId="2" borderId="7" xfId="0" applyFont="1" applyFill="1" applyBorder="1" applyProtection="1">
      <protection hidden="1"/>
    </xf>
    <xf numFmtId="0" fontId="17" fillId="0" borderId="0" xfId="0" applyFont="1" applyAlignment="1">
      <alignment horizontal="center"/>
    </xf>
    <xf numFmtId="0" fontId="46" fillId="8" borderId="0" xfId="0" applyFont="1" applyFill="1"/>
    <xf numFmtId="0" fontId="34" fillId="0" borderId="0" xfId="0" applyFont="1" applyAlignment="1">
      <alignment horizontal="left"/>
    </xf>
    <xf numFmtId="0" fontId="24" fillId="0" borderId="0" xfId="0" applyFont="1" applyAlignment="1">
      <alignment horizontal="left"/>
    </xf>
    <xf numFmtId="0" fontId="29" fillId="8" borderId="0" xfId="0" applyFont="1" applyFill="1" applyAlignment="1">
      <alignment horizontal="left"/>
    </xf>
    <xf numFmtId="0" fontId="24" fillId="0" borderId="0" xfId="0" applyFont="1" applyAlignment="1">
      <alignment horizontal="right"/>
    </xf>
    <xf numFmtId="3" fontId="24" fillId="7" borderId="14" xfId="0" applyNumberFormat="1" applyFont="1" applyFill="1" applyBorder="1" applyAlignment="1">
      <alignment horizontal="center"/>
    </xf>
    <xf numFmtId="0" fontId="23" fillId="7" borderId="14" xfId="0" applyFont="1" applyFill="1" applyBorder="1" applyAlignment="1">
      <alignment horizontal="center"/>
    </xf>
    <xf numFmtId="167" fontId="23" fillId="7" borderId="14" xfId="0" applyNumberFormat="1" applyFont="1" applyFill="1" applyBorder="1" applyAlignment="1">
      <alignment horizontal="center"/>
    </xf>
    <xf numFmtId="0" fontId="17" fillId="8" borderId="0" xfId="0" applyFont="1" applyFill="1" applyAlignment="1">
      <alignment horizontal="right"/>
    </xf>
    <xf numFmtId="4" fontId="23" fillId="7" borderId="14" xfId="0" applyNumberFormat="1" applyFont="1" applyFill="1" applyBorder="1" applyAlignment="1">
      <alignment horizontal="center"/>
    </xf>
    <xf numFmtId="0" fontId="24" fillId="8" borderId="0" xfId="0" applyFont="1" applyFill="1" applyAlignment="1">
      <alignment horizontal="right" indent="1"/>
    </xf>
    <xf numFmtId="0" fontId="28" fillId="0" borderId="0" xfId="0" applyFont="1"/>
    <xf numFmtId="0" fontId="29" fillId="8" borderId="0" xfId="0" applyFont="1" applyFill="1" applyAlignment="1">
      <alignment horizontal="right"/>
    </xf>
    <xf numFmtId="0" fontId="24" fillId="8" borderId="0" xfId="0" applyFont="1" applyFill="1" applyAlignment="1">
      <alignment horizontal="right"/>
    </xf>
    <xf numFmtId="0" fontId="29" fillId="0" borderId="0" xfId="0" applyFont="1" applyAlignment="1">
      <alignment horizontal="right"/>
    </xf>
    <xf numFmtId="0" fontId="77" fillId="8" borderId="0" xfId="0" applyFont="1" applyFill="1"/>
    <xf numFmtId="0" fontId="17" fillId="0" borderId="0" xfId="0" applyFont="1" applyAlignment="1">
      <alignment horizontal="right"/>
    </xf>
    <xf numFmtId="1" fontId="33" fillId="8" borderId="0" xfId="0" applyNumberFormat="1" applyFont="1" applyFill="1" applyAlignment="1">
      <alignment horizontal="center"/>
    </xf>
    <xf numFmtId="1" fontId="29" fillId="7" borderId="14" xfId="0" applyNumberFormat="1" applyFont="1" applyFill="1" applyBorder="1" applyAlignment="1">
      <alignment horizontal="right" indent="1"/>
    </xf>
    <xf numFmtId="0" fontId="29" fillId="7" borderId="0" xfId="0" applyFont="1" applyFill="1"/>
    <xf numFmtId="0" fontId="22" fillId="7" borderId="0" xfId="0" applyFont="1" applyFill="1"/>
    <xf numFmtId="4" fontId="33" fillId="8" borderId="0" xfId="0" applyNumberFormat="1" applyFont="1" applyFill="1" applyAlignment="1">
      <alignment horizontal="center"/>
    </xf>
    <xf numFmtId="3" fontId="33" fillId="8" borderId="0" xfId="0" applyNumberFormat="1" applyFont="1" applyFill="1" applyAlignment="1">
      <alignment horizontal="center"/>
    </xf>
    <xf numFmtId="4" fontId="17" fillId="7" borderId="14" xfId="0" applyNumberFormat="1" applyFont="1" applyFill="1" applyBorder="1"/>
    <xf numFmtId="4" fontId="17" fillId="2" borderId="26" xfId="0" applyNumberFormat="1" applyFont="1" applyFill="1" applyBorder="1"/>
    <xf numFmtId="164" fontId="17" fillId="2" borderId="14" xfId="0" applyNumberFormat="1" applyFont="1" applyFill="1" applyBorder="1"/>
    <xf numFmtId="169" fontId="0" fillId="8" borderId="0" xfId="0" applyNumberFormat="1" applyFill="1"/>
    <xf numFmtId="0" fontId="39" fillId="8" borderId="0" xfId="0" applyFont="1" applyFill="1"/>
    <xf numFmtId="0" fontId="24" fillId="0" borderId="0" xfId="0" applyFont="1" applyAlignment="1">
      <alignment horizontal="right" indent="1"/>
    </xf>
    <xf numFmtId="3" fontId="0" fillId="8" borderId="0" xfId="0" applyNumberFormat="1" applyFill="1" applyAlignment="1">
      <alignment horizontal="center"/>
    </xf>
    <xf numFmtId="0" fontId="17" fillId="2" borderId="12" xfId="0" applyFont="1" applyFill="1" applyBorder="1" applyAlignment="1">
      <alignment horizontal="center" wrapText="1"/>
    </xf>
    <xf numFmtId="0" fontId="17" fillId="2" borderId="14" xfId="0" applyFont="1" applyFill="1" applyBorder="1" applyAlignment="1">
      <alignment horizontal="center" wrapText="1"/>
    </xf>
    <xf numFmtId="0" fontId="17" fillId="2" borderId="13" xfId="0" applyFont="1" applyFill="1" applyBorder="1" applyAlignment="1">
      <alignment horizontal="center" wrapText="1"/>
    </xf>
    <xf numFmtId="0" fontId="13" fillId="2" borderId="13" xfId="0" applyFont="1" applyFill="1" applyBorder="1" applyAlignment="1">
      <alignment horizontal="right"/>
    </xf>
    <xf numFmtId="0" fontId="33" fillId="8" borderId="18" xfId="0" applyFont="1" applyFill="1" applyBorder="1" applyAlignment="1">
      <alignment horizontal="right"/>
    </xf>
    <xf numFmtId="0" fontId="17" fillId="2" borderId="12" xfId="0" applyFont="1" applyFill="1" applyBorder="1" applyAlignment="1">
      <alignment horizontal="right"/>
    </xf>
    <xf numFmtId="0" fontId="17" fillId="2" borderId="18" xfId="0" applyFont="1" applyFill="1" applyBorder="1" applyAlignment="1">
      <alignment horizontal="right"/>
    </xf>
    <xf numFmtId="0" fontId="24" fillId="0" borderId="18" xfId="0" applyFont="1" applyBorder="1" applyAlignment="1">
      <alignment horizontal="left"/>
    </xf>
    <xf numFmtId="166" fontId="24" fillId="7" borderId="13" xfId="0" applyNumberFormat="1" applyFont="1" applyFill="1" applyBorder="1" applyAlignment="1">
      <alignment horizontal="right"/>
    </xf>
    <xf numFmtId="0" fontId="33" fillId="8" borderId="18" xfId="0" applyFont="1" applyFill="1" applyBorder="1"/>
    <xf numFmtId="166" fontId="33" fillId="8" borderId="18" xfId="0" applyNumberFormat="1" applyFont="1" applyFill="1" applyBorder="1"/>
    <xf numFmtId="166" fontId="24" fillId="8" borderId="12" xfId="0" applyNumberFormat="1" applyFont="1" applyFill="1" applyBorder="1"/>
    <xf numFmtId="166" fontId="24" fillId="7" borderId="13" xfId="0" applyNumberFormat="1" applyFont="1" applyFill="1" applyBorder="1"/>
    <xf numFmtId="166" fontId="24" fillId="8" borderId="18" xfId="0" applyNumberFormat="1" applyFont="1" applyFill="1" applyBorder="1"/>
    <xf numFmtId="166" fontId="23" fillId="8" borderId="12" xfId="0" applyNumberFormat="1" applyFont="1" applyFill="1" applyBorder="1"/>
    <xf numFmtId="166" fontId="23" fillId="7" borderId="13" xfId="0" applyNumberFormat="1" applyFont="1" applyFill="1" applyBorder="1"/>
    <xf numFmtId="166" fontId="0" fillId="8" borderId="0" xfId="0" applyNumberFormat="1" applyFill="1"/>
    <xf numFmtId="166" fontId="0" fillId="0" borderId="0" xfId="0" applyNumberFormat="1"/>
    <xf numFmtId="0" fontId="17" fillId="0" borderId="18" xfId="0" applyFont="1" applyBorder="1"/>
    <xf numFmtId="16" fontId="12" fillId="7" borderId="18" xfId="0" quotePrefix="1" applyNumberFormat="1" applyFont="1" applyFill="1" applyBorder="1" applyAlignment="1">
      <alignment horizontal="left"/>
    </xf>
    <xf numFmtId="166" fontId="29" fillId="7" borderId="13" xfId="0" applyNumberFormat="1" applyFont="1" applyFill="1" applyBorder="1" applyAlignment="1">
      <alignment horizontal="right"/>
    </xf>
    <xf numFmtId="166" fontId="17" fillId="8" borderId="12" xfId="0" applyNumberFormat="1" applyFont="1" applyFill="1" applyBorder="1"/>
    <xf numFmtId="166" fontId="17" fillId="7" borderId="13" xfId="0" applyNumberFormat="1" applyFont="1" applyFill="1" applyBorder="1"/>
    <xf numFmtId="166" fontId="17" fillId="8" borderId="1" xfId="0" quotePrefix="1" applyNumberFormat="1" applyFont="1" applyFill="1" applyBorder="1"/>
    <xf numFmtId="166" fontId="0" fillId="0" borderId="2" xfId="0" applyNumberFormat="1" applyBorder="1"/>
    <xf numFmtId="166" fontId="17" fillId="7" borderId="3" xfId="0" applyNumberFormat="1" applyFont="1" applyFill="1" applyBorder="1"/>
    <xf numFmtId="166" fontId="17" fillId="8" borderId="2" xfId="0" applyNumberFormat="1" applyFont="1" applyFill="1" applyBorder="1"/>
    <xf numFmtId="166" fontId="17" fillId="8" borderId="1" xfId="0" applyNumberFormat="1" applyFont="1" applyFill="1" applyBorder="1"/>
    <xf numFmtId="166" fontId="17" fillId="8" borderId="4" xfId="0" quotePrefix="1" applyNumberFormat="1" applyFont="1" applyFill="1" applyBorder="1"/>
    <xf numFmtId="166" fontId="17" fillId="0" borderId="18" xfId="0" applyNumberFormat="1" applyFont="1" applyBorder="1"/>
    <xf numFmtId="166" fontId="17" fillId="0" borderId="18" xfId="0" quotePrefix="1" applyNumberFormat="1" applyFont="1" applyBorder="1"/>
    <xf numFmtId="166" fontId="0" fillId="0" borderId="18" xfId="0" applyNumberFormat="1" applyBorder="1"/>
    <xf numFmtId="166" fontId="17" fillId="8" borderId="0" xfId="0" applyNumberFormat="1" applyFont="1" applyFill="1"/>
    <xf numFmtId="166" fontId="23" fillId="7" borderId="14" xfId="0" applyNumberFormat="1" applyFont="1" applyFill="1" applyBorder="1"/>
    <xf numFmtId="0" fontId="79" fillId="8" borderId="0" xfId="0" applyFont="1" applyFill="1"/>
    <xf numFmtId="166" fontId="17" fillId="7" borderId="8" xfId="0" applyNumberFormat="1" applyFont="1" applyFill="1" applyBorder="1"/>
    <xf numFmtId="166" fontId="17" fillId="8" borderId="7" xfId="0" applyNumberFormat="1" applyFont="1" applyFill="1" applyBorder="1"/>
    <xf numFmtId="166" fontId="17" fillId="8" borderId="6" xfId="0" applyNumberFormat="1" applyFont="1" applyFill="1" applyBorder="1"/>
    <xf numFmtId="16" fontId="17" fillId="0" borderId="18" xfId="0" applyNumberFormat="1" applyFont="1" applyBorder="1"/>
    <xf numFmtId="166" fontId="17" fillId="8" borderId="18" xfId="0" applyNumberFormat="1" applyFont="1" applyFill="1" applyBorder="1"/>
    <xf numFmtId="0" fontId="36" fillId="8" borderId="0" xfId="0" applyFont="1" applyFill="1"/>
    <xf numFmtId="16" fontId="17" fillId="7" borderId="18" xfId="0" quotePrefix="1" applyNumberFormat="1" applyFont="1" applyFill="1" applyBorder="1" applyAlignment="1">
      <alignment horizontal="left"/>
    </xf>
    <xf numFmtId="0" fontId="37" fillId="8" borderId="0" xfId="0" applyFont="1" applyFill="1"/>
    <xf numFmtId="0" fontId="0" fillId="0" borderId="0" xfId="0" applyAlignment="1">
      <alignment horizontal="left"/>
    </xf>
    <xf numFmtId="166" fontId="22" fillId="0" borderId="0" xfId="0" applyNumberFormat="1" applyFont="1" applyAlignment="1">
      <alignment horizontal="left"/>
    </xf>
    <xf numFmtId="166" fontId="0" fillId="8" borderId="0" xfId="0" applyNumberFormat="1" applyFill="1" applyAlignment="1">
      <alignment horizontal="left"/>
    </xf>
    <xf numFmtId="0" fontId="23" fillId="0" borderId="18" xfId="0" applyFont="1" applyBorder="1"/>
    <xf numFmtId="166" fontId="23" fillId="8" borderId="0" xfId="0" applyNumberFormat="1" applyFont="1" applyFill="1"/>
    <xf numFmtId="49" fontId="17" fillId="0" borderId="18" xfId="0" applyNumberFormat="1" applyFont="1" applyBorder="1"/>
    <xf numFmtId="0" fontId="12" fillId="7" borderId="18" xfId="0" applyFont="1" applyFill="1" applyBorder="1" applyAlignment="1">
      <alignment horizontal="left"/>
    </xf>
    <xf numFmtId="166" fontId="17" fillId="8" borderId="12" xfId="0" quotePrefix="1" applyNumberFormat="1" applyFont="1" applyFill="1" applyBorder="1"/>
    <xf numFmtId="166" fontId="17" fillId="0" borderId="13" xfId="0" applyNumberFormat="1" applyFont="1" applyBorder="1"/>
    <xf numFmtId="166" fontId="17" fillId="8" borderId="6" xfId="0" quotePrefix="1" applyNumberFormat="1" applyFont="1" applyFill="1" applyBorder="1"/>
    <xf numFmtId="166" fontId="0" fillId="8" borderId="2" xfId="0" applyNumberFormat="1" applyFill="1" applyBorder="1"/>
    <xf numFmtId="0" fontId="29" fillId="7" borderId="18" xfId="0" applyFont="1" applyFill="1" applyBorder="1" applyAlignment="1">
      <alignment horizontal="left" vertical="center"/>
    </xf>
    <xf numFmtId="166" fontId="0" fillId="8" borderId="4" xfId="0" applyNumberFormat="1" applyFill="1" applyBorder="1"/>
    <xf numFmtId="49" fontId="17" fillId="7" borderId="18" xfId="0" applyNumberFormat="1" applyFont="1" applyFill="1" applyBorder="1"/>
    <xf numFmtId="0" fontId="47" fillId="7" borderId="18" xfId="0" applyFont="1" applyFill="1" applyBorder="1" applyAlignment="1">
      <alignment horizontal="left"/>
    </xf>
    <xf numFmtId="166" fontId="17" fillId="0" borderId="0" xfId="0" applyNumberFormat="1" applyFont="1"/>
    <xf numFmtId="0" fontId="24" fillId="7" borderId="18" xfId="0" applyFont="1" applyFill="1" applyBorder="1" applyAlignment="1">
      <alignment horizontal="left"/>
    </xf>
    <xf numFmtId="0" fontId="24" fillId="0" borderId="18" xfId="0" applyFont="1" applyBorder="1"/>
    <xf numFmtId="16" fontId="17" fillId="7" borderId="18" xfId="0" applyNumberFormat="1" applyFont="1" applyFill="1" applyBorder="1"/>
    <xf numFmtId="16" fontId="12" fillId="7" borderId="18" xfId="0" quotePrefix="1" applyNumberFormat="1" applyFont="1" applyFill="1" applyBorder="1"/>
    <xf numFmtId="166" fontId="40" fillId="0" borderId="0" xfId="0" applyNumberFormat="1" applyFont="1" applyAlignment="1">
      <alignment vertical="top" wrapText="1"/>
    </xf>
    <xf numFmtId="166" fontId="40" fillId="8" borderId="0" xfId="0" applyNumberFormat="1" applyFont="1" applyFill="1" applyAlignment="1">
      <alignment vertical="top" wrapText="1"/>
    </xf>
    <xf numFmtId="16" fontId="17" fillId="7" borderId="18" xfId="0" quotePrefix="1" applyNumberFormat="1" applyFont="1" applyFill="1" applyBorder="1"/>
    <xf numFmtId="166" fontId="40" fillId="8" borderId="4" xfId="0" applyNumberFormat="1" applyFont="1" applyFill="1" applyBorder="1" applyAlignment="1">
      <alignment vertical="top" wrapText="1"/>
    </xf>
    <xf numFmtId="0" fontId="40" fillId="0" borderId="5" xfId="0" applyFont="1" applyBorder="1" applyAlignment="1">
      <alignment horizontal="right" indent="1"/>
    </xf>
    <xf numFmtId="166" fontId="40" fillId="8" borderId="4" xfId="0" applyNumberFormat="1" applyFont="1" applyFill="1" applyBorder="1"/>
    <xf numFmtId="166" fontId="40" fillId="0" borderId="0" xfId="0" applyNumberFormat="1" applyFont="1"/>
    <xf numFmtId="166" fontId="40" fillId="8" borderId="0" xfId="0" applyNumberFormat="1" applyFont="1" applyFill="1"/>
    <xf numFmtId="166" fontId="24" fillId="0" borderId="0" xfId="0" applyNumberFormat="1" applyFont="1"/>
    <xf numFmtId="166" fontId="0" fillId="8" borderId="0" xfId="0" applyNumberFormat="1" applyFill="1" applyAlignment="1">
      <alignment horizontal="right" indent="1"/>
    </xf>
    <xf numFmtId="166" fontId="24" fillId="0" borderId="0" xfId="0" applyNumberFormat="1" applyFont="1" applyAlignment="1">
      <alignment horizontal="right" indent="1"/>
    </xf>
    <xf numFmtId="166" fontId="24" fillId="8" borderId="0" xfId="0" applyNumberFormat="1" applyFont="1" applyFill="1" applyAlignment="1">
      <alignment horizontal="right" indent="1"/>
    </xf>
    <xf numFmtId="166" fontId="17" fillId="8" borderId="0" xfId="0" applyNumberFormat="1" applyFont="1" applyFill="1" applyAlignment="1">
      <alignment horizontal="right" indent="1"/>
    </xf>
    <xf numFmtId="166" fontId="0" fillId="0" borderId="0" xfId="0" applyNumberFormat="1" applyAlignment="1">
      <alignment horizontal="right" indent="1"/>
    </xf>
    <xf numFmtId="0" fontId="28" fillId="2" borderId="18" xfId="0" applyFont="1" applyFill="1" applyBorder="1" applyAlignment="1">
      <alignment horizontal="left"/>
    </xf>
    <xf numFmtId="166" fontId="29" fillId="8" borderId="12" xfId="0" applyNumberFormat="1" applyFont="1" applyFill="1" applyBorder="1" applyAlignment="1">
      <alignment horizontal="right" indent="1"/>
    </xf>
    <xf numFmtId="166" fontId="29" fillId="7" borderId="13" xfId="0" applyNumberFormat="1" applyFont="1" applyFill="1" applyBorder="1" applyAlignment="1">
      <alignment horizontal="right" indent="1"/>
    </xf>
    <xf numFmtId="166" fontId="29" fillId="8" borderId="18" xfId="0" applyNumberFormat="1" applyFont="1" applyFill="1" applyBorder="1"/>
    <xf numFmtId="166" fontId="29" fillId="7" borderId="13" xfId="0" applyNumberFormat="1" applyFont="1" applyFill="1" applyBorder="1"/>
    <xf numFmtId="166" fontId="28" fillId="8" borderId="0" xfId="0" applyNumberFormat="1" applyFont="1" applyFill="1" applyAlignment="1">
      <alignment horizontal="left"/>
    </xf>
    <xf numFmtId="166" fontId="17" fillId="8" borderId="0" xfId="0" applyNumberFormat="1" applyFont="1" applyFill="1" applyAlignment="1">
      <alignment horizontal="right"/>
    </xf>
    <xf numFmtId="166" fontId="23" fillId="0" borderId="0" xfId="0" applyNumberFormat="1" applyFont="1" applyAlignment="1">
      <alignment horizontal="right"/>
    </xf>
    <xf numFmtId="166" fontId="23" fillId="8" borderId="0" xfId="0" applyNumberFormat="1" applyFont="1" applyFill="1" applyAlignment="1">
      <alignment horizontal="right"/>
    </xf>
    <xf numFmtId="0" fontId="27" fillId="8" borderId="0" xfId="0" applyFont="1" applyFill="1"/>
    <xf numFmtId="0" fontId="30" fillId="0" borderId="0" xfId="0" applyFont="1" applyAlignment="1">
      <alignment horizontal="left"/>
    </xf>
    <xf numFmtId="0" fontId="28" fillId="0" borderId="0" xfId="0" applyFont="1" applyAlignment="1">
      <alignment horizontal="right"/>
    </xf>
    <xf numFmtId="0" fontId="28" fillId="8" borderId="0" xfId="0" applyFont="1" applyFill="1" applyAlignment="1">
      <alignment horizontal="right"/>
    </xf>
    <xf numFmtId="4" fontId="28" fillId="0" borderId="0" xfId="0" applyNumberFormat="1" applyFont="1" applyAlignment="1">
      <alignment horizontal="right"/>
    </xf>
    <xf numFmtId="0" fontId="23" fillId="0" borderId="0" xfId="0" applyFont="1" applyAlignment="1">
      <alignment horizontal="right"/>
    </xf>
    <xf numFmtId="164" fontId="24" fillId="7" borderId="15" xfId="0" applyNumberFormat="1" applyFont="1" applyFill="1" applyBorder="1" applyAlignment="1">
      <alignment horizontal="right" indent="1"/>
    </xf>
    <xf numFmtId="0" fontId="23" fillId="8" borderId="0" xfId="0" applyFont="1" applyFill="1" applyAlignment="1">
      <alignment horizontal="right"/>
    </xf>
    <xf numFmtId="164" fontId="24" fillId="8" borderId="10" xfId="0" applyNumberFormat="1" applyFont="1" applyFill="1" applyBorder="1" applyAlignment="1">
      <alignment horizontal="right"/>
    </xf>
    <xf numFmtId="0" fontId="71" fillId="8" borderId="0" xfId="0" applyFont="1" applyFill="1" applyAlignment="1">
      <alignment horizontal="left"/>
    </xf>
    <xf numFmtId="0" fontId="23" fillId="0" borderId="0" xfId="0" applyFont="1" applyAlignment="1">
      <alignment horizontal="left"/>
    </xf>
    <xf numFmtId="164" fontId="72" fillId="0" borderId="0" xfId="0" applyNumberFormat="1" applyFont="1" applyAlignment="1">
      <alignment horizontal="right" indent="1"/>
    </xf>
    <xf numFmtId="0" fontId="23" fillId="0" borderId="7" xfId="0" applyFont="1" applyBorder="1"/>
    <xf numFmtId="0" fontId="23" fillId="0" borderId="7" xfId="0" applyFont="1" applyBorder="1" applyAlignment="1">
      <alignment horizontal="right"/>
    </xf>
    <xf numFmtId="0" fontId="31" fillId="0" borderId="0" xfId="1" applyFill="1" applyBorder="1" applyAlignment="1" applyProtection="1">
      <alignment horizontal="center" wrapText="1"/>
    </xf>
    <xf numFmtId="0" fontId="31" fillId="0" borderId="0" xfId="1" applyFill="1" applyBorder="1" applyAlignment="1" applyProtection="1"/>
    <xf numFmtId="0" fontId="41" fillId="8" borderId="0" xfId="0" applyFont="1" applyFill="1"/>
    <xf numFmtId="0" fontId="75" fillId="0" borderId="0" xfId="0" applyFont="1"/>
    <xf numFmtId="0" fontId="47" fillId="6" borderId="4" xfId="0" applyFont="1" applyFill="1" applyBorder="1" applyAlignment="1">
      <alignment wrapText="1"/>
    </xf>
    <xf numFmtId="0" fontId="47" fillId="6" borderId="0" xfId="0" applyFont="1" applyFill="1" applyAlignment="1">
      <alignment wrapText="1"/>
    </xf>
    <xf numFmtId="0" fontId="47" fillId="6" borderId="5" xfId="0" applyFont="1" applyFill="1" applyBorder="1" applyAlignment="1">
      <alignment wrapText="1"/>
    </xf>
    <xf numFmtId="0" fontId="82" fillId="6" borderId="0" xfId="0" applyFont="1" applyFill="1" applyAlignment="1">
      <alignment wrapText="1"/>
    </xf>
    <xf numFmtId="0" fontId="82" fillId="6" borderId="5" xfId="0" applyFont="1" applyFill="1" applyBorder="1" applyAlignment="1">
      <alignment wrapText="1"/>
    </xf>
    <xf numFmtId="0" fontId="24" fillId="6" borderId="4" xfId="0" applyFont="1" applyFill="1" applyBorder="1" applyAlignment="1">
      <alignment wrapText="1"/>
    </xf>
    <xf numFmtId="0" fontId="21" fillId="0" borderId="0" xfId="0" applyFont="1" applyAlignment="1">
      <alignment wrapText="1"/>
    </xf>
    <xf numFmtId="0" fontId="43" fillId="12" borderId="4" xfId="0" applyFont="1" applyFill="1" applyBorder="1" applyAlignment="1">
      <alignment horizontal="left" vertical="top" wrapText="1"/>
    </xf>
    <xf numFmtId="0" fontId="47" fillId="12" borderId="0" xfId="0" applyFont="1" applyFill="1" applyAlignment="1">
      <alignment vertical="center"/>
    </xf>
    <xf numFmtId="0" fontId="43" fillId="6" borderId="4" xfId="0" applyFont="1" applyFill="1" applyBorder="1" applyAlignment="1">
      <alignment vertical="top" wrapText="1"/>
    </xf>
    <xf numFmtId="0" fontId="43" fillId="6" borderId="0" xfId="0" applyFont="1" applyFill="1" applyAlignment="1">
      <alignment wrapText="1"/>
    </xf>
    <xf numFmtId="0" fontId="43" fillId="6" borderId="4" xfId="0" applyFont="1" applyFill="1" applyBorder="1" applyAlignment="1">
      <alignment horizontal="left" vertical="top" wrapText="1"/>
    </xf>
    <xf numFmtId="0" fontId="0" fillId="6" borderId="4" xfId="0" applyFill="1" applyBorder="1" applyAlignment="1">
      <alignment wrapText="1" shrinkToFit="1"/>
    </xf>
    <xf numFmtId="0" fontId="0" fillId="6" borderId="5" xfId="0" applyFill="1" applyBorder="1" applyAlignment="1">
      <alignment wrapText="1" shrinkToFit="1"/>
    </xf>
    <xf numFmtId="0" fontId="0" fillId="6" borderId="8" xfId="0" applyFill="1" applyBorder="1"/>
    <xf numFmtId="14" fontId="17" fillId="6" borderId="0" xfId="0" applyNumberFormat="1" applyFont="1" applyFill="1" applyAlignment="1">
      <alignment horizontal="center" vertical="center"/>
    </xf>
    <xf numFmtId="14" fontId="29" fillId="6" borderId="0" xfId="0" applyNumberFormat="1" applyFont="1" applyFill="1" applyAlignment="1">
      <alignment horizontal="center" vertical="center"/>
    </xf>
    <xf numFmtId="0" fontId="17" fillId="3" borderId="7" xfId="0" applyFont="1" applyFill="1" applyBorder="1" applyAlignment="1" applyProtection="1">
      <alignment horizontal="center"/>
      <protection locked="0"/>
    </xf>
    <xf numFmtId="0" fontId="23" fillId="3" borderId="15" xfId="0" applyFont="1" applyFill="1" applyBorder="1" applyAlignment="1" applyProtection="1">
      <alignment horizontal="center"/>
      <protection locked="0"/>
    </xf>
    <xf numFmtId="14" fontId="17" fillId="3" borderId="14" xfId="0" applyNumberFormat="1" applyFont="1" applyFill="1" applyBorder="1" applyAlignment="1" applyProtection="1">
      <alignment horizontal="center"/>
      <protection locked="0"/>
    </xf>
    <xf numFmtId="14" fontId="17" fillId="3" borderId="15" xfId="0" applyNumberFormat="1" applyFont="1" applyFill="1" applyBorder="1" applyAlignment="1" applyProtection="1">
      <alignment horizontal="center" vertical="center"/>
      <protection locked="0"/>
    </xf>
    <xf numFmtId="14" fontId="29" fillId="3" borderId="15" xfId="0" applyNumberFormat="1" applyFont="1" applyFill="1" applyBorder="1" applyAlignment="1" applyProtection="1">
      <alignment horizontal="center" vertical="center"/>
      <protection locked="0"/>
    </xf>
    <xf numFmtId="0" fontId="0" fillId="3" borderId="0" xfId="0" applyFill="1" applyProtection="1">
      <protection locked="0"/>
    </xf>
    <xf numFmtId="2" fontId="17" fillId="3" borderId="8" xfId="0" applyNumberFormat="1" applyFont="1" applyFill="1" applyBorder="1" applyAlignment="1" applyProtection="1">
      <alignment horizontal="center"/>
      <protection locked="0"/>
    </xf>
    <xf numFmtId="2" fontId="17" fillId="3" borderId="13" xfId="0" applyNumberFormat="1" applyFont="1" applyFill="1" applyBorder="1" applyAlignment="1" applyProtection="1">
      <alignment horizontal="center"/>
      <protection locked="0"/>
    </xf>
    <xf numFmtId="2" fontId="17" fillId="3" borderId="7" xfId="0" applyNumberFormat="1" applyFont="1" applyFill="1" applyBorder="1" applyAlignment="1" applyProtection="1">
      <alignment horizontal="center"/>
      <protection locked="0"/>
    </xf>
    <xf numFmtId="164" fontId="17" fillId="3" borderId="14" xfId="0" applyNumberFormat="1" applyFont="1" applyFill="1" applyBorder="1" applyAlignment="1" applyProtection="1">
      <alignment horizontal="center"/>
      <protection locked="0"/>
    </xf>
    <xf numFmtId="167" fontId="0" fillId="17" borderId="14" xfId="0" applyNumberFormat="1" applyFill="1" applyBorder="1" applyProtection="1">
      <protection locked="0"/>
    </xf>
    <xf numFmtId="0" fontId="0" fillId="17" borderId="14" xfId="0" applyFill="1" applyBorder="1" applyProtection="1">
      <protection locked="0"/>
    </xf>
    <xf numFmtId="0" fontId="0" fillId="17" borderId="12" xfId="0" applyFill="1" applyBorder="1" applyProtection="1">
      <protection locked="0"/>
    </xf>
    <xf numFmtId="173" fontId="0" fillId="17" borderId="21" xfId="0" applyNumberFormat="1" applyFill="1" applyBorder="1" applyAlignment="1" applyProtection="1">
      <alignment horizontal="center"/>
      <protection locked="0"/>
    </xf>
    <xf numFmtId="173" fontId="0" fillId="17" borderId="14" xfId="0" applyNumberFormat="1" applyFill="1" applyBorder="1" applyAlignment="1" applyProtection="1">
      <alignment horizontal="center"/>
      <protection locked="0"/>
    </xf>
    <xf numFmtId="10" fontId="0" fillId="17" borderId="14" xfId="0" applyNumberFormat="1" applyFill="1" applyBorder="1" applyAlignment="1" applyProtection="1">
      <alignment horizontal="center"/>
      <protection locked="0"/>
    </xf>
    <xf numFmtId="174" fontId="0" fillId="17" borderId="12" xfId="0" applyNumberFormat="1" applyFill="1" applyBorder="1" applyAlignment="1" applyProtection="1">
      <alignment horizontal="center"/>
      <protection locked="0"/>
    </xf>
    <xf numFmtId="175" fontId="0" fillId="17" borderId="12" xfId="0" applyNumberFormat="1" applyFill="1" applyBorder="1" applyProtection="1">
      <protection locked="0"/>
    </xf>
    <xf numFmtId="44" fontId="0" fillId="17" borderId="12" xfId="2" applyFont="1" applyFill="1" applyBorder="1" applyProtection="1">
      <protection locked="0"/>
    </xf>
    <xf numFmtId="44" fontId="0" fillId="17" borderId="7" xfId="2" applyFont="1" applyFill="1" applyBorder="1" applyProtection="1">
      <protection locked="0"/>
    </xf>
    <xf numFmtId="0" fontId="43" fillId="6" borderId="0" xfId="0" applyFont="1" applyFill="1" applyAlignment="1">
      <alignment vertical="top" wrapText="1"/>
    </xf>
    <xf numFmtId="0" fontId="43" fillId="6" borderId="5" xfId="0" applyFont="1" applyFill="1" applyBorder="1" applyAlignment="1">
      <alignment vertical="top" wrapText="1"/>
    </xf>
    <xf numFmtId="0" fontId="43" fillId="6" borderId="0" xfId="0" applyFont="1" applyFill="1" applyAlignment="1">
      <alignment horizontal="left" vertical="top" wrapText="1"/>
    </xf>
    <xf numFmtId="0" fontId="43" fillId="6" borderId="5" xfId="0" applyFont="1" applyFill="1" applyBorder="1" applyAlignment="1">
      <alignment horizontal="left" vertical="top" wrapText="1"/>
    </xf>
    <xf numFmtId="0" fontId="43" fillId="12" borderId="0" xfId="0" applyFont="1" applyFill="1" applyAlignment="1">
      <alignment horizontal="left" vertical="center" wrapText="1"/>
    </xf>
    <xf numFmtId="0" fontId="43" fillId="12" borderId="5" xfId="0" applyFont="1" applyFill="1" applyBorder="1" applyAlignment="1">
      <alignment horizontal="left" vertical="center" wrapText="1"/>
    </xf>
    <xf numFmtId="0" fontId="84" fillId="23" borderId="0" xfId="0" applyFont="1" applyFill="1"/>
    <xf numFmtId="0" fontId="43" fillId="12" borderId="4" xfId="0" applyFont="1" applyFill="1" applyBorder="1" applyAlignment="1">
      <alignment horizontal="right" vertical="top" wrapText="1"/>
    </xf>
    <xf numFmtId="0" fontId="28" fillId="0" borderId="0" xfId="0" applyFont="1" applyAlignment="1">
      <alignment horizontal="right" wrapText="1"/>
    </xf>
    <xf numFmtId="0" fontId="26" fillId="24" borderId="0" xfId="0" applyFont="1" applyFill="1" applyProtection="1">
      <protection hidden="1"/>
    </xf>
    <xf numFmtId="0" fontId="28" fillId="24" borderId="0" xfId="0" applyFont="1" applyFill="1" applyProtection="1">
      <protection hidden="1"/>
    </xf>
    <xf numFmtId="14" fontId="23" fillId="3" borderId="14" xfId="0" applyNumberFormat="1" applyFont="1" applyFill="1" applyBorder="1" applyAlignment="1" applyProtection="1">
      <alignment horizontal="center"/>
      <protection locked="0"/>
    </xf>
    <xf numFmtId="1" fontId="0" fillId="17" borderId="21" xfId="0" applyNumberFormat="1" applyFill="1" applyBorder="1" applyAlignment="1" applyProtection="1">
      <alignment horizontal="center"/>
      <protection locked="0"/>
    </xf>
    <xf numFmtId="0" fontId="10" fillId="0" borderId="0" xfId="0" applyFont="1" applyAlignment="1" applyProtection="1">
      <alignment vertical="center"/>
      <protection hidden="1"/>
    </xf>
    <xf numFmtId="181" fontId="20" fillId="0" borderId="0" xfId="0" applyNumberFormat="1" applyFont="1"/>
    <xf numFmtId="0" fontId="28" fillId="25" borderId="0" xfId="0" applyFont="1" applyFill="1" applyProtection="1">
      <protection hidden="1"/>
    </xf>
    <xf numFmtId="0" fontId="29" fillId="23" borderId="0" xfId="17" applyFill="1" applyAlignment="1">
      <alignment vertical="center" wrapText="1"/>
    </xf>
    <xf numFmtId="0" fontId="0" fillId="23" borderId="0" xfId="0" applyFill="1"/>
    <xf numFmtId="0" fontId="85" fillId="23" borderId="0" xfId="17" applyFont="1" applyFill="1" applyAlignment="1">
      <alignment horizontal="left" vertical="center"/>
    </xf>
    <xf numFmtId="0" fontId="24" fillId="0" borderId="14" xfId="17" applyFont="1" applyBorder="1" applyAlignment="1">
      <alignment horizontal="center" vertical="center" wrapText="1"/>
    </xf>
    <xf numFmtId="9" fontId="0" fillId="16" borderId="14" xfId="3" applyFont="1" applyFill="1" applyBorder="1" applyProtection="1">
      <protection hidden="1"/>
    </xf>
    <xf numFmtId="2" fontId="28" fillId="25" borderId="0" xfId="0" applyNumberFormat="1" applyFont="1" applyFill="1" applyAlignment="1" applyProtection="1">
      <alignment horizontal="right"/>
      <protection hidden="1"/>
    </xf>
    <xf numFmtId="0" fontId="26" fillId="6" borderId="0" xfId="0" applyFont="1" applyFill="1" applyProtection="1">
      <protection hidden="1"/>
    </xf>
    <xf numFmtId="0" fontId="9" fillId="6" borderId="0" xfId="0" applyFont="1" applyFill="1" applyProtection="1">
      <protection hidden="1"/>
    </xf>
    <xf numFmtId="14" fontId="0" fillId="16" borderId="14" xfId="0" applyNumberFormat="1" applyFill="1" applyBorder="1" applyAlignment="1" applyProtection="1">
      <alignment horizontal="center"/>
      <protection hidden="1"/>
    </xf>
    <xf numFmtId="0" fontId="0" fillId="8" borderId="14" xfId="0" applyFill="1" applyBorder="1"/>
    <xf numFmtId="44" fontId="0" fillId="8" borderId="14" xfId="2" applyFont="1" applyFill="1" applyBorder="1"/>
    <xf numFmtId="0" fontId="20" fillId="8" borderId="14" xfId="0" applyFont="1" applyFill="1" applyBorder="1"/>
    <xf numFmtId="10" fontId="0" fillId="8" borderId="14" xfId="3" applyNumberFormat="1" applyFont="1" applyFill="1" applyBorder="1"/>
    <xf numFmtId="0" fontId="43" fillId="12" borderId="0" xfId="0" applyFont="1" applyFill="1" applyAlignment="1">
      <alignment horizontal="left" vertical="top" wrapText="1"/>
    </xf>
    <xf numFmtId="0" fontId="43" fillId="12" borderId="5" xfId="0" applyFont="1" applyFill="1" applyBorder="1" applyAlignment="1">
      <alignment horizontal="left" vertical="top" wrapText="1"/>
    </xf>
    <xf numFmtId="0" fontId="86" fillId="12" borderId="0" xfId="0" applyFont="1" applyFill="1" applyAlignment="1">
      <alignment horizontal="left" vertical="top" wrapText="1"/>
    </xf>
    <xf numFmtId="14" fontId="17" fillId="3" borderId="21" xfId="0" applyNumberFormat="1" applyFont="1" applyFill="1" applyBorder="1" applyAlignment="1" applyProtection="1">
      <alignment horizontal="center"/>
      <protection locked="0"/>
    </xf>
    <xf numFmtId="0" fontId="43" fillId="6" borderId="0" xfId="0" applyFont="1" applyFill="1" applyAlignment="1">
      <alignment vertical="top"/>
    </xf>
    <xf numFmtId="14" fontId="28" fillId="25" borderId="0" xfId="0" applyNumberFormat="1" applyFont="1" applyFill="1" applyAlignment="1" applyProtection="1">
      <alignment horizontal="left"/>
      <protection hidden="1"/>
    </xf>
    <xf numFmtId="0" fontId="6" fillId="27" borderId="14" xfId="0" applyFont="1" applyFill="1" applyBorder="1" applyAlignment="1">
      <alignment horizontal="left"/>
    </xf>
    <xf numFmtId="0" fontId="6" fillId="27" borderId="14" xfId="0" applyFont="1" applyFill="1" applyBorder="1" applyAlignment="1">
      <alignment horizontal="left" vertical="center"/>
    </xf>
    <xf numFmtId="0" fontId="6" fillId="27" borderId="14" xfId="0" applyFont="1" applyFill="1" applyBorder="1" applyAlignment="1">
      <alignment wrapText="1"/>
    </xf>
    <xf numFmtId="0" fontId="6" fillId="27" borderId="14" xfId="0" applyFont="1" applyFill="1" applyBorder="1"/>
    <xf numFmtId="0" fontId="6" fillId="28" borderId="14" xfId="0" applyFont="1" applyFill="1" applyBorder="1" applyAlignment="1">
      <alignment horizontal="left" vertical="top"/>
    </xf>
    <xf numFmtId="0" fontId="6" fillId="28" borderId="14" xfId="0" applyFont="1" applyFill="1" applyBorder="1" applyAlignment="1">
      <alignment vertical="top" wrapText="1"/>
    </xf>
    <xf numFmtId="0" fontId="6" fillId="28" borderId="14" xfId="0" applyFont="1" applyFill="1" applyBorder="1" applyAlignment="1">
      <alignment vertical="top"/>
    </xf>
    <xf numFmtId="0" fontId="6" fillId="7" borderId="14" xfId="0" applyFont="1" applyFill="1" applyBorder="1" applyAlignment="1">
      <alignment horizontal="left" vertical="top"/>
    </xf>
    <xf numFmtId="0" fontId="6" fillId="7" borderId="14" xfId="0" applyFont="1" applyFill="1" applyBorder="1" applyAlignment="1">
      <alignment horizontal="left" vertical="top" wrapText="1"/>
    </xf>
    <xf numFmtId="0" fontId="6" fillId="17" borderId="94" xfId="0" applyFont="1" applyFill="1" applyBorder="1"/>
    <xf numFmtId="0" fontId="6" fillId="26" borderId="14" xfId="0" applyFont="1" applyFill="1" applyBorder="1" applyAlignment="1">
      <alignment horizontal="left" vertical="top"/>
    </xf>
    <xf numFmtId="0" fontId="6" fillId="26" borderId="14" xfId="0" applyFont="1" applyFill="1" applyBorder="1" applyAlignment="1">
      <alignment vertical="top" wrapText="1"/>
    </xf>
    <xf numFmtId="14" fontId="6" fillId="27" borderId="14" xfId="0" applyNumberFormat="1" applyFont="1" applyFill="1" applyBorder="1" applyAlignment="1">
      <alignment horizontal="center" vertical="top"/>
    </xf>
    <xf numFmtId="14" fontId="6" fillId="28" borderId="14" xfId="0" applyNumberFormat="1" applyFont="1" applyFill="1" applyBorder="1" applyAlignment="1">
      <alignment horizontal="center" vertical="top"/>
    </xf>
    <xf numFmtId="0" fontId="29" fillId="17" borderId="92" xfId="0" applyFont="1" applyFill="1" applyBorder="1" applyAlignment="1">
      <alignment vertical="top" wrapText="1"/>
    </xf>
    <xf numFmtId="0" fontId="29" fillId="17" borderId="94" xfId="0" applyFont="1" applyFill="1" applyBorder="1" applyAlignment="1">
      <alignment vertical="top" wrapText="1"/>
    </xf>
    <xf numFmtId="0" fontId="88" fillId="17" borderId="94" xfId="0" applyFont="1" applyFill="1" applyBorder="1" applyAlignment="1">
      <alignment horizontal="left" vertical="top" wrapText="1"/>
    </xf>
    <xf numFmtId="0" fontId="28" fillId="17" borderId="94" xfId="0" applyFont="1" applyFill="1" applyBorder="1" applyAlignment="1">
      <alignment vertical="top" wrapText="1"/>
    </xf>
    <xf numFmtId="0" fontId="6" fillId="17" borderId="94" xfId="0" applyFont="1" applyFill="1" applyBorder="1" applyAlignment="1">
      <alignment horizontal="left" wrapText="1"/>
    </xf>
    <xf numFmtId="0" fontId="6" fillId="17" borderId="93" xfId="0" applyFont="1" applyFill="1" applyBorder="1" applyAlignment="1">
      <alignment horizontal="left" wrapText="1"/>
    </xf>
    <xf numFmtId="0" fontId="6" fillId="17" borderId="93" xfId="0" applyFont="1" applyFill="1" applyBorder="1"/>
    <xf numFmtId="0" fontId="6" fillId="17" borderId="19" xfId="0" applyFont="1" applyFill="1" applyBorder="1"/>
    <xf numFmtId="0" fontId="6" fillId="17" borderId="21" xfId="0" applyFont="1" applyFill="1" applyBorder="1"/>
    <xf numFmtId="0" fontId="6" fillId="7" borderId="92" xfId="0" applyFont="1" applyFill="1" applyBorder="1" applyAlignment="1">
      <alignment horizontal="left" vertical="top" wrapText="1"/>
    </xf>
    <xf numFmtId="0" fontId="6" fillId="7" borderId="93" xfId="0" applyFont="1" applyFill="1" applyBorder="1" applyAlignment="1">
      <alignment horizontal="left" vertical="top"/>
    </xf>
    <xf numFmtId="0" fontId="6" fillId="7" borderId="93" xfId="0" applyFont="1" applyFill="1" applyBorder="1" applyAlignment="1">
      <alignment horizontal="left" vertical="top" wrapText="1"/>
    </xf>
    <xf numFmtId="0" fontId="87" fillId="25" borderId="0" xfId="0" applyFont="1" applyFill="1" applyProtection="1">
      <protection hidden="1"/>
    </xf>
    <xf numFmtId="14" fontId="17" fillId="6" borderId="0" xfId="0" applyNumberFormat="1" applyFont="1" applyFill="1" applyAlignment="1">
      <alignment horizontal="center"/>
    </xf>
    <xf numFmtId="14" fontId="17" fillId="6" borderId="0" xfId="0" applyNumberFormat="1" applyFont="1" applyFill="1" applyAlignment="1" applyProtection="1">
      <alignment horizontal="center"/>
      <protection hidden="1"/>
    </xf>
    <xf numFmtId="173" fontId="90" fillId="6" borderId="0" xfId="0" applyNumberFormat="1" applyFont="1" applyFill="1" applyAlignment="1">
      <alignment horizontal="center"/>
    </xf>
    <xf numFmtId="0" fontId="21" fillId="2" borderId="3" xfId="0" applyFont="1" applyFill="1" applyBorder="1" applyAlignment="1" applyProtection="1">
      <alignment wrapText="1"/>
      <protection hidden="1"/>
    </xf>
    <xf numFmtId="0" fontId="22" fillId="20" borderId="76" xfId="0" applyFont="1" applyFill="1" applyBorder="1"/>
    <xf numFmtId="0" fontId="0" fillId="16" borderId="6" xfId="0" applyFill="1" applyBorder="1"/>
    <xf numFmtId="0" fontId="0" fillId="20" borderId="6" xfId="0" applyFill="1" applyBorder="1"/>
    <xf numFmtId="44" fontId="0" fillId="6" borderId="21" xfId="2" applyFont="1" applyFill="1" applyBorder="1" applyProtection="1"/>
    <xf numFmtId="10" fontId="39" fillId="17" borderId="21" xfId="0" applyNumberFormat="1" applyFont="1" applyFill="1" applyBorder="1" applyAlignment="1" applyProtection="1">
      <alignment horizontal="center"/>
      <protection locked="0"/>
    </xf>
    <xf numFmtId="10" fontId="39" fillId="17" borderId="14" xfId="0" applyNumberFormat="1" applyFont="1" applyFill="1" applyBorder="1" applyAlignment="1" applyProtection="1">
      <alignment horizontal="center"/>
      <protection locked="0"/>
    </xf>
    <xf numFmtId="10" fontId="19" fillId="25" borderId="0" xfId="0" applyNumberFormat="1" applyFont="1" applyFill="1" applyAlignment="1">
      <alignment horizontal="left"/>
    </xf>
    <xf numFmtId="178" fontId="0" fillId="0" borderId="6" xfId="0" applyNumberFormat="1" applyBorder="1" applyAlignment="1">
      <alignment horizontal="right"/>
    </xf>
    <xf numFmtId="184" fontId="0" fillId="6" borderId="14" xfId="0" applyNumberFormat="1" applyFill="1" applyBorder="1" applyAlignment="1">
      <alignment vertical="top" wrapText="1"/>
    </xf>
    <xf numFmtId="184" fontId="0" fillId="18" borderId="14" xfId="0" applyNumberFormat="1" applyFill="1" applyBorder="1" applyAlignment="1">
      <alignment vertical="top" wrapText="1"/>
    </xf>
    <xf numFmtId="184" fontId="0" fillId="0" borderId="5" xfId="0" applyNumberFormat="1" applyBorder="1" applyAlignment="1">
      <alignment horizontal="right"/>
    </xf>
    <xf numFmtId="0" fontId="5" fillId="0" borderId="0" xfId="0" applyFont="1"/>
    <xf numFmtId="0" fontId="5" fillId="0" borderId="14" xfId="0" applyFont="1" applyBorder="1"/>
    <xf numFmtId="0" fontId="5" fillId="6" borderId="0" xfId="0" applyFont="1" applyFill="1"/>
    <xf numFmtId="0" fontId="5" fillId="0" borderId="13" xfId="0" applyFont="1" applyBorder="1"/>
    <xf numFmtId="0" fontId="40" fillId="0" borderId="0" xfId="0" applyFont="1"/>
    <xf numFmtId="0" fontId="0" fillId="6" borderId="3" xfId="0" applyFill="1" applyBorder="1"/>
    <xf numFmtId="0" fontId="0" fillId="2" borderId="4" xfId="0" applyFill="1" applyBorder="1"/>
    <xf numFmtId="0" fontId="5" fillId="6" borderId="4" xfId="0" applyFont="1" applyFill="1" applyBorder="1"/>
    <xf numFmtId="0" fontId="5" fillId="6" borderId="5" xfId="0" applyFont="1" applyFill="1" applyBorder="1"/>
    <xf numFmtId="0" fontId="5" fillId="16" borderId="0" xfId="0" applyFont="1" applyFill="1" applyAlignment="1">
      <alignment horizontal="left"/>
    </xf>
    <xf numFmtId="0" fontId="5" fillId="16" borderId="0" xfId="0" applyFont="1" applyFill="1"/>
    <xf numFmtId="0" fontId="5" fillId="2" borderId="18" xfId="0" applyFont="1" applyFill="1" applyBorder="1"/>
    <xf numFmtId="0" fontId="5" fillId="0" borderId="18" xfId="0" applyFont="1" applyBorder="1" applyAlignment="1">
      <alignment horizontal="center"/>
    </xf>
    <xf numFmtId="14" fontId="23" fillId="16" borderId="18" xfId="0" applyNumberFormat="1" applyFont="1" applyFill="1" applyBorder="1" applyAlignment="1">
      <alignment horizontal="center"/>
    </xf>
    <xf numFmtId="0" fontId="23" fillId="19" borderId="12" xfId="0" applyFont="1" applyFill="1" applyBorder="1" applyAlignment="1">
      <alignment horizontal="center"/>
    </xf>
    <xf numFmtId="0" fontId="5" fillId="19" borderId="18" xfId="0" applyFont="1" applyFill="1" applyBorder="1" applyAlignment="1">
      <alignment horizontal="center"/>
    </xf>
    <xf numFmtId="0" fontId="5" fillId="19" borderId="13" xfId="0" applyFont="1" applyFill="1" applyBorder="1" applyAlignment="1">
      <alignment horizontal="center"/>
    </xf>
    <xf numFmtId="0" fontId="5" fillId="6" borderId="0" xfId="0" applyFont="1" applyFill="1" applyAlignment="1">
      <alignment horizontal="center"/>
    </xf>
    <xf numFmtId="0" fontId="5" fillId="6" borderId="14" xfId="0" applyFont="1" applyFill="1" applyBorder="1" applyAlignment="1">
      <alignment horizontal="center"/>
    </xf>
    <xf numFmtId="0" fontId="23" fillId="16" borderId="12" xfId="0" applyFont="1" applyFill="1" applyBorder="1"/>
    <xf numFmtId="0" fontId="5" fillId="16" borderId="18" xfId="0" applyFont="1" applyFill="1" applyBorder="1"/>
    <xf numFmtId="0" fontId="5" fillId="16" borderId="13" xfId="0" applyFont="1" applyFill="1" applyBorder="1"/>
    <xf numFmtId="0" fontId="23" fillId="19" borderId="14" xfId="0" applyFont="1" applyFill="1" applyBorder="1" applyAlignment="1">
      <alignment horizontal="center"/>
    </xf>
    <xf numFmtId="173" fontId="5" fillId="6" borderId="14" xfId="0" applyNumberFormat="1" applyFont="1" applyFill="1" applyBorder="1" applyAlignment="1">
      <alignment horizontal="center"/>
    </xf>
    <xf numFmtId="10" fontId="5" fillId="6" borderId="14" xfId="0" applyNumberFormat="1" applyFont="1" applyFill="1" applyBorder="1" applyAlignment="1">
      <alignment horizontal="center"/>
    </xf>
    <xf numFmtId="0" fontId="23" fillId="16" borderId="14" xfId="0" applyFont="1" applyFill="1" applyBorder="1" applyAlignment="1">
      <alignment wrapText="1"/>
    </xf>
    <xf numFmtId="0" fontId="23" fillId="19" borderId="14" xfId="0" applyFont="1" applyFill="1" applyBorder="1"/>
    <xf numFmtId="0" fontId="23" fillId="19" borderId="14" xfId="0" applyFont="1" applyFill="1" applyBorder="1" applyAlignment="1">
      <alignment wrapText="1"/>
    </xf>
    <xf numFmtId="185" fontId="5" fillId="6" borderId="14" xfId="0" applyNumberFormat="1" applyFont="1" applyFill="1" applyBorder="1"/>
    <xf numFmtId="10" fontId="0" fillId="6" borderId="0" xfId="0" applyNumberFormat="1" applyFill="1"/>
    <xf numFmtId="175" fontId="5" fillId="0" borderId="14" xfId="0" applyNumberFormat="1" applyFont="1" applyBorder="1"/>
    <xf numFmtId="0" fontId="23" fillId="16" borderId="18" xfId="0" applyFont="1" applyFill="1" applyBorder="1"/>
    <xf numFmtId="0" fontId="23" fillId="16" borderId="13" xfId="0" applyFont="1" applyFill="1" applyBorder="1"/>
    <xf numFmtId="0" fontId="23" fillId="6" borderId="5" xfId="0" applyFont="1" applyFill="1" applyBorder="1"/>
    <xf numFmtId="0" fontId="47" fillId="6" borderId="4" xfId="0" applyFont="1" applyFill="1" applyBorder="1"/>
    <xf numFmtId="44" fontId="47" fillId="0" borderId="14" xfId="0" applyNumberFormat="1" applyFont="1" applyBorder="1"/>
    <xf numFmtId="0" fontId="47" fillId="6" borderId="5" xfId="0" applyFont="1" applyFill="1" applyBorder="1"/>
    <xf numFmtId="0" fontId="23" fillId="18" borderId="6" xfId="0" applyFont="1" applyFill="1" applyBorder="1"/>
    <xf numFmtId="0" fontId="5" fillId="18" borderId="7" xfId="0" applyFont="1" applyFill="1" applyBorder="1"/>
    <xf numFmtId="0" fontId="5" fillId="18" borderId="8" xfId="0" applyFont="1" applyFill="1" applyBorder="1"/>
    <xf numFmtId="0" fontId="92" fillId="16" borderId="14" xfId="0" applyFont="1" applyFill="1" applyBorder="1" applyAlignment="1">
      <alignment wrapText="1"/>
    </xf>
    <xf numFmtId="44" fontId="93" fillId="16" borderId="14" xfId="0" applyNumberFormat="1" applyFont="1" applyFill="1" applyBorder="1"/>
    <xf numFmtId="0" fontId="47" fillId="6" borderId="0" xfId="0" applyFont="1" applyFill="1"/>
    <xf numFmtId="44" fontId="23" fillId="0" borderId="14" xfId="2" applyFont="1" applyBorder="1" applyProtection="1"/>
    <xf numFmtId="44" fontId="5" fillId="6" borderId="0" xfId="2" applyFont="1" applyFill="1" applyBorder="1" applyProtection="1"/>
    <xf numFmtId="44" fontId="23" fillId="0" borderId="14" xfId="0" applyNumberFormat="1" applyFont="1" applyBorder="1"/>
    <xf numFmtId="0" fontId="40" fillId="6" borderId="4" xfId="0" applyFont="1" applyFill="1" applyBorder="1"/>
    <xf numFmtId="0" fontId="40" fillId="6" borderId="0" xfId="0" applyFont="1" applyFill="1"/>
    <xf numFmtId="0" fontId="40" fillId="6" borderId="5" xfId="0" applyFont="1" applyFill="1" applyBorder="1"/>
    <xf numFmtId="0" fontId="23" fillId="2" borderId="12" xfId="0" applyFont="1" applyFill="1" applyBorder="1"/>
    <xf numFmtId="0" fontId="5" fillId="17" borderId="2" xfId="0" applyFont="1" applyFill="1" applyBorder="1"/>
    <xf numFmtId="0" fontId="5" fillId="17" borderId="3" xfId="0" applyFont="1" applyFill="1" applyBorder="1"/>
    <xf numFmtId="0" fontId="0" fillId="17" borderId="14" xfId="0" applyFill="1" applyBorder="1"/>
    <xf numFmtId="177" fontId="0" fillId="17" borderId="12" xfId="0" applyNumberFormat="1" applyFill="1" applyBorder="1" applyAlignment="1">
      <alignment horizontal="center"/>
    </xf>
    <xf numFmtId="44" fontId="0" fillId="17" borderId="18" xfId="2" applyFont="1" applyFill="1" applyBorder="1" applyProtection="1"/>
    <xf numFmtId="10" fontId="0" fillId="6" borderId="0" xfId="0" applyNumberFormat="1" applyFill="1" applyAlignment="1">
      <alignment horizontal="center"/>
    </xf>
    <xf numFmtId="0" fontId="0" fillId="6" borderId="0" xfId="0" applyFill="1" applyAlignment="1">
      <alignment vertical="top" wrapText="1"/>
    </xf>
    <xf numFmtId="168" fontId="0" fillId="6" borderId="0" xfId="0" applyNumberFormat="1" applyFill="1"/>
    <xf numFmtId="0" fontId="20" fillId="2" borderId="2" xfId="0" applyFont="1" applyFill="1" applyBorder="1"/>
    <xf numFmtId="0" fontId="20" fillId="2" borderId="3" xfId="0" applyFont="1" applyFill="1" applyBorder="1"/>
    <xf numFmtId="0" fontId="20" fillId="2" borderId="4" xfId="0" applyFont="1" applyFill="1" applyBorder="1"/>
    <xf numFmtId="0" fontId="20" fillId="2" borderId="0" xfId="0" applyFont="1" applyFill="1"/>
    <xf numFmtId="0" fontId="20" fillId="2" borderId="5" xfId="0" applyFont="1" applyFill="1" applyBorder="1"/>
    <xf numFmtId="0" fontId="20" fillId="2" borderId="6" xfId="0" applyFont="1" applyFill="1" applyBorder="1"/>
    <xf numFmtId="0" fontId="20" fillId="2" borderId="7" xfId="0" applyFont="1" applyFill="1" applyBorder="1"/>
    <xf numFmtId="0" fontId="20" fillId="2" borderId="8" xfId="0" applyFont="1" applyFill="1" applyBorder="1"/>
    <xf numFmtId="0" fontId="31" fillId="6" borderId="0" xfId="1" applyFill="1" applyBorder="1" applyAlignment="1" applyProtection="1"/>
    <xf numFmtId="0" fontId="23" fillId="6" borderId="1" xfId="0" applyFont="1" applyFill="1" applyBorder="1"/>
    <xf numFmtId="0" fontId="0" fillId="6" borderId="2" xfId="0" applyFill="1" applyBorder="1"/>
    <xf numFmtId="44" fontId="0" fillId="17" borderId="23" xfId="2" applyFont="1" applyFill="1" applyBorder="1" applyProtection="1">
      <protection locked="0" hidden="1"/>
    </xf>
    <xf numFmtId="0" fontId="5" fillId="17" borderId="2" xfId="0" applyFont="1" applyFill="1" applyBorder="1" applyAlignment="1">
      <alignment vertical="top"/>
    </xf>
    <xf numFmtId="0" fontId="5" fillId="0" borderId="21" xfId="0" applyFont="1" applyBorder="1" applyAlignment="1">
      <alignment vertical="top" wrapText="1"/>
    </xf>
    <xf numFmtId="0" fontId="6" fillId="17" borderId="97" xfId="0" applyFont="1" applyFill="1" applyBorder="1" applyAlignment="1">
      <alignment horizontal="left"/>
    </xf>
    <xf numFmtId="0" fontId="6" fillId="17" borderId="97" xfId="0" applyFont="1" applyFill="1" applyBorder="1"/>
    <xf numFmtId="0" fontId="6" fillId="17" borderId="98" xfId="0" applyFont="1" applyFill="1" applyBorder="1" applyAlignment="1">
      <alignment horizontal="left"/>
    </xf>
    <xf numFmtId="0" fontId="6" fillId="17" borderId="98" xfId="0" applyFont="1" applyFill="1" applyBorder="1"/>
    <xf numFmtId="0" fontId="6" fillId="17" borderId="98" xfId="0" applyFont="1" applyFill="1" applyBorder="1" applyAlignment="1">
      <alignment wrapText="1"/>
    </xf>
    <xf numFmtId="0" fontId="6" fillId="17" borderId="99" xfId="0" applyFont="1" applyFill="1" applyBorder="1" applyAlignment="1">
      <alignment horizontal="left"/>
    </xf>
    <xf numFmtId="0" fontId="6" fillId="17" borderId="99" xfId="0" applyFont="1" applyFill="1" applyBorder="1" applyAlignment="1">
      <alignment wrapText="1"/>
    </xf>
    <xf numFmtId="0" fontId="5" fillId="0" borderId="92" xfId="0" applyFont="1" applyBorder="1" applyAlignment="1">
      <alignment horizontal="left" vertical="top" wrapText="1"/>
    </xf>
    <xf numFmtId="0" fontId="5" fillId="0" borderId="94" xfId="0" applyFont="1" applyBorder="1" applyAlignment="1">
      <alignment horizontal="left" vertical="top" wrapText="1"/>
    </xf>
    <xf numFmtId="0" fontId="5" fillId="0" borderId="93" xfId="0" applyFont="1" applyBorder="1" applyAlignment="1">
      <alignment horizontal="left" vertical="top" wrapText="1"/>
    </xf>
    <xf numFmtId="0" fontId="5" fillId="0" borderId="92" xfId="0" applyFont="1" applyBorder="1"/>
    <xf numFmtId="0" fontId="4" fillId="0" borderId="93" xfId="0" applyFont="1" applyBorder="1"/>
    <xf numFmtId="0" fontId="4" fillId="0" borderId="93" xfId="0" applyFont="1" applyBorder="1" applyAlignment="1">
      <alignment wrapText="1"/>
    </xf>
    <xf numFmtId="0" fontId="0" fillId="0" borderId="93" xfId="0" applyBorder="1"/>
    <xf numFmtId="0" fontId="5" fillId="0" borderId="20" xfId="0" applyFont="1" applyBorder="1"/>
    <xf numFmtId="0" fontId="4" fillId="0" borderId="92" xfId="0" applyFont="1" applyBorder="1"/>
    <xf numFmtId="0" fontId="0" fillId="0" borderId="92" xfId="0" applyBorder="1"/>
    <xf numFmtId="0" fontId="4" fillId="0" borderId="94" xfId="0" applyFont="1" applyBorder="1"/>
    <xf numFmtId="0" fontId="4" fillId="0" borderId="94" xfId="0" applyFont="1" applyBorder="1" applyAlignment="1">
      <alignment wrapText="1"/>
    </xf>
    <xf numFmtId="0" fontId="0" fillId="0" borderId="94" xfId="0" applyBorder="1"/>
    <xf numFmtId="0" fontId="29" fillId="0" borderId="92" xfId="0" applyFont="1" applyBorder="1"/>
    <xf numFmtId="14" fontId="5" fillId="17" borderId="14" xfId="0" applyNumberFormat="1" applyFont="1" applyFill="1" applyBorder="1" applyAlignment="1">
      <alignment horizontal="center" vertical="top"/>
    </xf>
    <xf numFmtId="0" fontId="80" fillId="25" borderId="0" xfId="0" applyFont="1" applyFill="1" applyProtection="1">
      <protection hidden="1"/>
    </xf>
    <xf numFmtId="10" fontId="19" fillId="6" borderId="95" xfId="0" applyNumberFormat="1" applyFont="1" applyFill="1" applyBorder="1" applyAlignment="1">
      <alignment horizontal="center"/>
    </xf>
    <xf numFmtId="0" fontId="25" fillId="25" borderId="0" xfId="0" applyFont="1" applyFill="1" applyAlignment="1">
      <alignment horizontal="left"/>
    </xf>
    <xf numFmtId="0" fontId="25" fillId="25" borderId="0" xfId="0" applyFont="1" applyFill="1"/>
    <xf numFmtId="0" fontId="0" fillId="30" borderId="14" xfId="0" applyFill="1" applyBorder="1" applyProtection="1">
      <protection locked="0"/>
    </xf>
    <xf numFmtId="0" fontId="20" fillId="2" borderId="100" xfId="0" applyFont="1" applyFill="1" applyBorder="1"/>
    <xf numFmtId="0" fontId="3" fillId="2" borderId="13" xfId="0" applyFont="1" applyFill="1" applyBorder="1" applyAlignment="1">
      <alignment horizontal="center"/>
    </xf>
    <xf numFmtId="0" fontId="0" fillId="8" borderId="19" xfId="0" applyFill="1" applyBorder="1"/>
    <xf numFmtId="0" fontId="20" fillId="8" borderId="0" xfId="0" applyFont="1" applyFill="1"/>
    <xf numFmtId="0" fontId="94" fillId="0" borderId="0" xfId="0" applyFont="1"/>
    <xf numFmtId="14" fontId="94" fillId="0" borderId="0" xfId="0" applyNumberFormat="1" applyFont="1"/>
    <xf numFmtId="0" fontId="0" fillId="0" borderId="25" xfId="0" applyBorder="1"/>
    <xf numFmtId="0" fontId="0" fillId="16" borderId="0" xfId="0" applyFill="1"/>
    <xf numFmtId="0" fontId="19" fillId="16" borderId="77" xfId="0" applyFont="1" applyFill="1" applyBorder="1"/>
    <xf numFmtId="44" fontId="0" fillId="16" borderId="96" xfId="2" applyFont="1" applyFill="1" applyBorder="1" applyProtection="1"/>
    <xf numFmtId="0" fontId="0" fillId="0" borderId="14" xfId="0" applyBorder="1" applyAlignment="1">
      <alignment wrapText="1"/>
    </xf>
    <xf numFmtId="0" fontId="0" fillId="0" borderId="12" xfId="0" applyBorder="1" applyAlignment="1">
      <alignment wrapText="1"/>
    </xf>
    <xf numFmtId="0" fontId="0" fillId="0" borderId="18" xfId="0" applyBorder="1" applyAlignment="1">
      <alignment wrapText="1"/>
    </xf>
    <xf numFmtId="0" fontId="0" fillId="0" borderId="13" xfId="0" applyBorder="1" applyAlignment="1">
      <alignment wrapText="1"/>
    </xf>
    <xf numFmtId="44" fontId="0" fillId="16" borderId="19" xfId="0" applyNumberFormat="1" applyFill="1" applyBorder="1"/>
    <xf numFmtId="0" fontId="0" fillId="6" borderId="75" xfId="0" applyFill="1" applyBorder="1"/>
    <xf numFmtId="0" fontId="0" fillId="16" borderId="19" xfId="0" applyFill="1" applyBorder="1"/>
    <xf numFmtId="0" fontId="0" fillId="0" borderId="101" xfId="0" applyBorder="1"/>
    <xf numFmtId="0" fontId="0" fillId="0" borderId="102" xfId="0" applyBorder="1"/>
    <xf numFmtId="0" fontId="0" fillId="16" borderId="18" xfId="0" applyFill="1" applyBorder="1"/>
    <xf numFmtId="0" fontId="90" fillId="16" borderId="75" xfId="0" applyFont="1" applyFill="1" applyBorder="1"/>
    <xf numFmtId="0" fontId="90" fillId="16" borderId="77" xfId="0" applyFont="1" applyFill="1" applyBorder="1"/>
    <xf numFmtId="0" fontId="20" fillId="19" borderId="22" xfId="0" applyFont="1" applyFill="1" applyBorder="1" applyAlignment="1" applyProtection="1">
      <alignment wrapText="1"/>
      <protection locked="0"/>
    </xf>
    <xf numFmtId="0" fontId="22" fillId="6" borderId="32" xfId="0" applyFont="1" applyFill="1" applyBorder="1" applyAlignment="1">
      <alignment horizontal="center" vertical="center" wrapText="1"/>
    </xf>
    <xf numFmtId="175" fontId="29" fillId="6" borderId="0" xfId="0" applyNumberFormat="1" applyFont="1" applyFill="1" applyAlignment="1">
      <alignment horizontal="center" vertical="center"/>
    </xf>
    <xf numFmtId="182" fontId="22" fillId="6" borderId="0" xfId="2" applyNumberFormat="1" applyFont="1" applyFill="1" applyBorder="1" applyAlignment="1" applyProtection="1">
      <alignment horizontal="center" vertical="center" wrapText="1"/>
    </xf>
    <xf numFmtId="0" fontId="2" fillId="6" borderId="4" xfId="0" applyFont="1" applyFill="1" applyBorder="1"/>
    <xf numFmtId="0" fontId="23" fillId="6" borderId="4" xfId="0" applyFont="1" applyFill="1" applyBorder="1"/>
    <xf numFmtId="0" fontId="31" fillId="0" borderId="0" xfId="1" applyAlignment="1" applyProtection="1"/>
    <xf numFmtId="0" fontId="31" fillId="6" borderId="0" xfId="1" applyFill="1" applyAlignment="1" applyProtection="1"/>
    <xf numFmtId="0" fontId="2" fillId="6" borderId="0" xfId="0" applyFont="1" applyFill="1"/>
    <xf numFmtId="0" fontId="2" fillId="6" borderId="5" xfId="0" applyFont="1" applyFill="1" applyBorder="1"/>
    <xf numFmtId="0" fontId="2" fillId="6" borderId="6" xfId="0" applyFont="1" applyFill="1" applyBorder="1"/>
    <xf numFmtId="0" fontId="2" fillId="6" borderId="7" xfId="0" applyFont="1" applyFill="1" applyBorder="1"/>
    <xf numFmtId="0" fontId="2" fillId="6" borderId="8" xfId="0" applyFont="1" applyFill="1" applyBorder="1"/>
    <xf numFmtId="0" fontId="8" fillId="25" borderId="0" xfId="0" applyFont="1" applyFill="1" applyAlignment="1">
      <alignment horizontal="center" vertical="center" wrapText="1"/>
    </xf>
    <xf numFmtId="173" fontId="0" fillId="25" borderId="0" xfId="0" applyNumberFormat="1" applyFill="1" applyAlignment="1">
      <alignment horizontal="center"/>
    </xf>
    <xf numFmtId="0" fontId="95" fillId="0" borderId="0" xfId="0" applyFont="1"/>
    <xf numFmtId="0" fontId="23" fillId="19" borderId="33" xfId="0" applyFont="1" applyFill="1" applyBorder="1" applyAlignment="1">
      <alignment horizontal="center" wrapText="1"/>
    </xf>
    <xf numFmtId="0" fontId="43" fillId="12" borderId="0" xfId="0" applyFont="1" applyFill="1" applyAlignment="1">
      <alignment vertical="top" wrapText="1"/>
    </xf>
    <xf numFmtId="0" fontId="43" fillId="12" borderId="5" xfId="0" applyFont="1" applyFill="1" applyBorder="1" applyAlignment="1">
      <alignment vertical="top" wrapText="1"/>
    </xf>
    <xf numFmtId="0" fontId="43" fillId="6" borderId="0" xfId="0" applyFont="1" applyFill="1" applyAlignment="1">
      <alignment horizontal="left" wrapText="1"/>
    </xf>
    <xf numFmtId="0" fontId="43" fillId="6" borderId="5" xfId="0" applyFont="1" applyFill="1" applyBorder="1" applyAlignment="1">
      <alignment horizontal="left" wrapText="1"/>
    </xf>
    <xf numFmtId="0" fontId="43" fillId="12" borderId="0" xfId="0" applyFont="1" applyFill="1" applyAlignment="1">
      <alignment horizontal="left" vertical="top" wrapText="1"/>
    </xf>
    <xf numFmtId="0" fontId="43" fillId="12" borderId="5" xfId="0" applyFont="1" applyFill="1" applyBorder="1" applyAlignment="1">
      <alignment horizontal="left" vertical="top" wrapText="1"/>
    </xf>
    <xf numFmtId="0" fontId="24" fillId="17" borderId="4" xfId="0" applyFont="1" applyFill="1" applyBorder="1" applyAlignment="1">
      <alignment horizontal="left" vertical="top" wrapText="1"/>
    </xf>
    <xf numFmtId="0" fontId="24" fillId="17" borderId="0" xfId="0" applyFont="1" applyFill="1" applyAlignment="1">
      <alignment horizontal="left" vertical="top" wrapText="1"/>
    </xf>
    <xf numFmtId="0" fontId="51" fillId="22" borderId="1" xfId="0" applyFont="1" applyFill="1" applyBorder="1" applyAlignment="1">
      <alignment horizontal="center" vertical="center"/>
    </xf>
    <xf numFmtId="0" fontId="51" fillId="22" borderId="2" xfId="0" applyFont="1" applyFill="1" applyBorder="1" applyAlignment="1">
      <alignment horizontal="center" vertical="center"/>
    </xf>
    <xf numFmtId="0" fontId="51" fillId="22" borderId="3" xfId="0" applyFont="1" applyFill="1" applyBorder="1" applyAlignment="1">
      <alignment horizontal="center" vertical="center"/>
    </xf>
    <xf numFmtId="0" fontId="51" fillId="22" borderId="6" xfId="0" applyFont="1" applyFill="1" applyBorder="1" applyAlignment="1">
      <alignment horizontal="center" vertical="center"/>
    </xf>
    <xf numFmtId="0" fontId="51" fillId="22" borderId="7" xfId="0" applyFont="1" applyFill="1" applyBorder="1" applyAlignment="1">
      <alignment horizontal="center" vertical="center"/>
    </xf>
    <xf numFmtId="0" fontId="51" fillId="22" borderId="8" xfId="0" applyFont="1" applyFill="1" applyBorder="1" applyAlignment="1">
      <alignment horizontal="center" vertical="center"/>
    </xf>
    <xf numFmtId="0" fontId="43" fillId="6" borderId="0" xfId="0" applyFont="1" applyFill="1" applyAlignment="1">
      <alignment horizontal="left" vertical="top" wrapText="1"/>
    </xf>
    <xf numFmtId="0" fontId="43" fillId="6" borderId="5" xfId="0" applyFont="1" applyFill="1" applyBorder="1" applyAlignment="1">
      <alignment horizontal="left" vertical="top" wrapText="1"/>
    </xf>
    <xf numFmtId="0" fontId="43" fillId="12" borderId="0" xfId="0" applyFont="1" applyFill="1" applyAlignment="1">
      <alignment horizontal="left" vertical="center" wrapText="1"/>
    </xf>
    <xf numFmtId="0" fontId="43" fillId="12" borderId="5" xfId="0" applyFont="1" applyFill="1" applyBorder="1" applyAlignment="1">
      <alignment horizontal="left" vertical="center" wrapText="1"/>
    </xf>
    <xf numFmtId="49" fontId="29" fillId="4" borderId="7" xfId="0" applyNumberFormat="1" applyFont="1" applyFill="1" applyBorder="1" applyAlignment="1" applyProtection="1">
      <alignment horizontal="left"/>
      <protection locked="0"/>
    </xf>
    <xf numFmtId="49" fontId="0" fillId="0" borderId="7" xfId="0" applyNumberFormat="1" applyBorder="1" applyAlignment="1" applyProtection="1">
      <alignment horizontal="left"/>
      <protection locked="0"/>
    </xf>
    <xf numFmtId="0" fontId="0" fillId="0" borderId="7" xfId="0" applyBorder="1" applyProtection="1">
      <protection locked="0"/>
    </xf>
    <xf numFmtId="49" fontId="29" fillId="4" borderId="7" xfId="0" applyNumberFormat="1" applyFont="1" applyFill="1" applyBorder="1" applyProtection="1">
      <protection locked="0"/>
    </xf>
    <xf numFmtId="49" fontId="0" fillId="0" borderId="7" xfId="0" applyNumberFormat="1" applyBorder="1" applyProtection="1">
      <protection locked="0"/>
    </xf>
    <xf numFmtId="0" fontId="29" fillId="4" borderId="7" xfId="0" applyFont="1" applyFill="1" applyBorder="1" applyProtection="1">
      <protection locked="0"/>
    </xf>
    <xf numFmtId="49" fontId="31" fillId="4" borderId="7" xfId="1" applyNumberFormat="1" applyFill="1" applyBorder="1" applyAlignment="1" applyProtection="1">
      <alignment horizontal="left"/>
      <protection locked="0"/>
    </xf>
    <xf numFmtId="49" fontId="31" fillId="4" borderId="7" xfId="1" applyNumberFormat="1" applyFill="1" applyBorder="1" applyAlignment="1" applyProtection="1">
      <protection locked="0"/>
    </xf>
    <xf numFmtId="0" fontId="29" fillId="4" borderId="7" xfId="0" applyFont="1" applyFill="1" applyBorder="1" applyAlignment="1" applyProtection="1">
      <alignment vertical="top"/>
      <protection locked="0"/>
    </xf>
    <xf numFmtId="0" fontId="17" fillId="0" borderId="0" xfId="0" applyFont="1" applyAlignment="1">
      <alignment horizontal="center"/>
    </xf>
    <xf numFmtId="0" fontId="31" fillId="5" borderId="9" xfId="1" applyFill="1" applyBorder="1" applyAlignment="1" applyProtection="1">
      <alignment horizontal="center" wrapText="1"/>
      <protection locked="0" hidden="1"/>
    </xf>
    <xf numFmtId="0" fontId="31" fillId="0" borderId="10" xfId="1" applyBorder="1" applyAlignment="1" applyProtection="1">
      <protection locked="0" hidden="1"/>
    </xf>
    <xf numFmtId="0" fontId="31" fillId="0" borderId="11" xfId="1" applyBorder="1" applyAlignment="1" applyProtection="1">
      <protection locked="0" hidden="1"/>
    </xf>
    <xf numFmtId="0" fontId="4" fillId="29" borderId="12" xfId="0" applyFont="1" applyFill="1" applyBorder="1" applyAlignment="1" applyProtection="1">
      <alignment horizontal="left"/>
      <protection locked="0"/>
    </xf>
    <xf numFmtId="0" fontId="17" fillId="29" borderId="18" xfId="0" applyFont="1" applyFill="1" applyBorder="1" applyAlignment="1" applyProtection="1">
      <alignment horizontal="left"/>
      <protection locked="0"/>
    </xf>
    <xf numFmtId="0" fontId="17" fillId="29" borderId="13" xfId="0" applyFont="1" applyFill="1" applyBorder="1" applyAlignment="1" applyProtection="1">
      <alignment horizontal="left"/>
      <protection locked="0"/>
    </xf>
    <xf numFmtId="0" fontId="21" fillId="2" borderId="1" xfId="0" applyFont="1" applyFill="1" applyBorder="1" applyAlignment="1" applyProtection="1">
      <alignment horizontal="center" wrapText="1"/>
      <protection hidden="1"/>
    </xf>
    <xf numFmtId="0" fontId="21" fillId="2" borderId="2" xfId="0" applyFont="1" applyFill="1" applyBorder="1" applyAlignment="1" applyProtection="1">
      <alignment horizontal="center" wrapText="1"/>
      <protection hidden="1"/>
    </xf>
    <xf numFmtId="0" fontId="17" fillId="3" borderId="7" xfId="0" applyFont="1" applyFill="1" applyBorder="1" applyAlignment="1" applyProtection="1">
      <alignment horizontal="center"/>
      <protection locked="0"/>
    </xf>
    <xf numFmtId="0" fontId="21" fillId="2" borderId="4" xfId="0" applyFont="1" applyFill="1" applyBorder="1" applyAlignment="1" applyProtection="1">
      <alignment horizontal="center"/>
      <protection hidden="1"/>
    </xf>
    <xf numFmtId="0" fontId="21" fillId="2" borderId="0" xfId="0" applyFont="1" applyFill="1" applyAlignment="1" applyProtection="1">
      <alignment horizontal="center"/>
      <protection hidden="1"/>
    </xf>
    <xf numFmtId="0" fontId="21" fillId="2" borderId="5" xfId="0" applyFont="1" applyFill="1" applyBorder="1" applyAlignment="1" applyProtection="1">
      <alignment horizontal="center"/>
      <protection hidden="1"/>
    </xf>
    <xf numFmtId="0" fontId="13" fillId="3" borderId="9" xfId="0" applyFont="1" applyFill="1" applyBorder="1" applyAlignment="1" applyProtection="1">
      <alignment horizontal="center"/>
      <protection locked="0"/>
    </xf>
    <xf numFmtId="0" fontId="17" fillId="3" borderId="10" xfId="0" applyFont="1" applyFill="1" applyBorder="1" applyAlignment="1" applyProtection="1">
      <alignment horizontal="center"/>
      <protection locked="0"/>
    </xf>
    <xf numFmtId="0" fontId="17" fillId="3" borderId="11" xfId="0" applyFont="1" applyFill="1" applyBorder="1" applyAlignment="1" applyProtection="1">
      <alignment horizontal="center"/>
      <protection locked="0"/>
    </xf>
    <xf numFmtId="0" fontId="17" fillId="3" borderId="12" xfId="0" applyFont="1" applyFill="1" applyBorder="1" applyAlignment="1" applyProtection="1">
      <alignment horizontal="center"/>
      <protection locked="0"/>
    </xf>
    <xf numFmtId="0" fontId="17" fillId="3" borderId="13" xfId="0" applyFont="1" applyFill="1" applyBorder="1" applyAlignment="1" applyProtection="1">
      <alignment horizontal="center"/>
      <protection locked="0"/>
    </xf>
    <xf numFmtId="14" fontId="89" fillId="0" borderId="1" xfId="0" applyNumberFormat="1" applyFont="1" applyBorder="1" applyAlignment="1" applyProtection="1">
      <alignment horizontal="center"/>
      <protection hidden="1"/>
    </xf>
    <xf numFmtId="0" fontId="89" fillId="0" borderId="2" xfId="0" applyFont="1" applyBorder="1" applyAlignment="1">
      <alignment horizontal="center"/>
    </xf>
    <xf numFmtId="180" fontId="17" fillId="3" borderId="12" xfId="0" applyNumberFormat="1" applyFont="1" applyFill="1" applyBorder="1" applyAlignment="1" applyProtection="1">
      <alignment horizontal="center"/>
      <protection locked="0"/>
    </xf>
    <xf numFmtId="180" fontId="17" fillId="3" borderId="13" xfId="0" applyNumberFormat="1" applyFont="1" applyFill="1" applyBorder="1" applyAlignment="1" applyProtection="1">
      <alignment horizontal="center"/>
      <protection locked="0"/>
    </xf>
    <xf numFmtId="0" fontId="91" fillId="2" borderId="2" xfId="0" applyFont="1" applyFill="1" applyBorder="1" applyAlignment="1">
      <alignment horizontal="center" vertical="center"/>
    </xf>
    <xf numFmtId="0" fontId="91" fillId="2" borderId="3" xfId="0" applyFont="1" applyFill="1" applyBorder="1" applyAlignment="1">
      <alignment horizontal="center" vertical="center"/>
    </xf>
    <xf numFmtId="0" fontId="0" fillId="2" borderId="18" xfId="0" applyFill="1" applyBorder="1" applyAlignment="1">
      <alignment horizontal="center"/>
    </xf>
    <xf numFmtId="0" fontId="0" fillId="2" borderId="13" xfId="0" applyFill="1" applyBorder="1" applyAlignment="1">
      <alignment horizontal="center"/>
    </xf>
    <xf numFmtId="0" fontId="20" fillId="2" borderId="82" xfId="0" applyFont="1" applyFill="1" applyBorder="1" applyAlignment="1">
      <alignment horizontal="center" vertical="center"/>
    </xf>
    <xf numFmtId="0" fontId="20" fillId="2" borderId="76" xfId="0" applyFont="1" applyFill="1" applyBorder="1" applyAlignment="1">
      <alignment horizontal="center" vertical="center"/>
    </xf>
    <xf numFmtId="0" fontId="31" fillId="5" borderId="9" xfId="1" applyFill="1" applyBorder="1" applyAlignment="1" applyProtection="1">
      <alignment horizontal="center" wrapText="1"/>
      <protection locked="0"/>
    </xf>
    <xf numFmtId="0" fontId="31" fillId="0" borderId="10" xfId="1" applyBorder="1" applyAlignment="1" applyProtection="1">
      <protection locked="0"/>
    </xf>
    <xf numFmtId="0" fontId="31" fillId="0" borderId="11" xfId="1" applyBorder="1" applyAlignment="1" applyProtection="1">
      <protection locked="0"/>
    </xf>
    <xf numFmtId="44" fontId="23" fillId="2" borderId="70" xfId="2" applyFont="1" applyFill="1" applyBorder="1" applyAlignment="1" applyProtection="1">
      <alignment horizontal="center"/>
    </xf>
    <xf numFmtId="44" fontId="23" fillId="2" borderId="64" xfId="2" applyFont="1" applyFill="1" applyBorder="1" applyAlignment="1" applyProtection="1">
      <alignment horizontal="center"/>
    </xf>
    <xf numFmtId="44" fontId="23" fillId="2" borderId="65" xfId="2" applyFont="1" applyFill="1" applyBorder="1" applyAlignment="1" applyProtection="1">
      <alignment horizontal="center"/>
    </xf>
    <xf numFmtId="0" fontId="20" fillId="2" borderId="0" xfId="0" applyFont="1" applyFill="1" applyAlignment="1">
      <alignment horizontal="center"/>
    </xf>
    <xf numFmtId="44" fontId="23" fillId="2" borderId="69" xfId="2" applyFont="1" applyFill="1" applyBorder="1" applyAlignment="1" applyProtection="1">
      <alignment horizontal="left"/>
    </xf>
    <xf numFmtId="44" fontId="23" fillId="2" borderId="64" xfId="2" applyFont="1" applyFill="1" applyBorder="1" applyAlignment="1" applyProtection="1">
      <alignment horizontal="left"/>
    </xf>
    <xf numFmtId="44" fontId="23" fillId="2" borderId="65" xfId="2" applyFont="1" applyFill="1" applyBorder="1" applyAlignment="1" applyProtection="1">
      <alignment horizontal="left"/>
    </xf>
    <xf numFmtId="0" fontId="20" fillId="2" borderId="69" xfId="0" applyFont="1" applyFill="1" applyBorder="1" applyAlignment="1">
      <alignment horizontal="center"/>
    </xf>
    <xf numFmtId="0" fontId="20" fillId="2" borderId="64" xfId="0" applyFont="1" applyFill="1" applyBorder="1" applyAlignment="1">
      <alignment horizontal="center"/>
    </xf>
    <xf numFmtId="0" fontId="20" fillId="2" borderId="65" xfId="0" applyFont="1" applyFill="1" applyBorder="1" applyAlignment="1">
      <alignment horizontal="center"/>
    </xf>
    <xf numFmtId="0" fontId="0" fillId="6" borderId="12" xfId="0" applyFill="1" applyBorder="1" applyAlignment="1">
      <alignment horizontal="left" wrapText="1"/>
    </xf>
    <xf numFmtId="0" fontId="0" fillId="6" borderId="13" xfId="0" applyFill="1" applyBorder="1" applyAlignment="1">
      <alignment horizontal="left" wrapText="1"/>
    </xf>
    <xf numFmtId="183" fontId="22" fillId="17" borderId="1" xfId="2" applyNumberFormat="1" applyFont="1" applyFill="1" applyBorder="1" applyAlignment="1" applyProtection="1">
      <alignment horizontal="center" vertical="top" wrapText="1"/>
      <protection locked="0"/>
    </xf>
    <xf numFmtId="183" fontId="22" fillId="17" borderId="2" xfId="2" applyNumberFormat="1" applyFont="1" applyFill="1" applyBorder="1" applyAlignment="1" applyProtection="1">
      <alignment horizontal="center" vertical="top" wrapText="1"/>
      <protection locked="0"/>
    </xf>
    <xf numFmtId="183" fontId="22" fillId="17" borderId="3" xfId="2" applyNumberFormat="1" applyFont="1" applyFill="1" applyBorder="1" applyAlignment="1" applyProtection="1">
      <alignment horizontal="center" vertical="top" wrapText="1"/>
      <protection locked="0"/>
    </xf>
    <xf numFmtId="183" fontId="22" fillId="17" borderId="4" xfId="2" applyNumberFormat="1" applyFont="1" applyFill="1" applyBorder="1" applyAlignment="1" applyProtection="1">
      <alignment horizontal="center" vertical="top" wrapText="1"/>
      <protection locked="0"/>
    </xf>
    <xf numFmtId="183" fontId="22" fillId="17" borderId="0" xfId="2" applyNumberFormat="1" applyFont="1" applyFill="1" applyBorder="1" applyAlignment="1" applyProtection="1">
      <alignment horizontal="center" vertical="top" wrapText="1"/>
      <protection locked="0"/>
    </xf>
    <xf numFmtId="183" fontId="22" fillId="17" borderId="5" xfId="2" applyNumberFormat="1" applyFont="1" applyFill="1" applyBorder="1" applyAlignment="1" applyProtection="1">
      <alignment horizontal="center" vertical="top" wrapText="1"/>
      <protection locked="0"/>
    </xf>
    <xf numFmtId="183" fontId="22" fillId="17" borderId="6" xfId="2" applyNumberFormat="1" applyFont="1" applyFill="1" applyBorder="1" applyAlignment="1" applyProtection="1">
      <alignment horizontal="center" vertical="top" wrapText="1"/>
      <protection locked="0"/>
    </xf>
    <xf numFmtId="183" fontId="22" fillId="17" borderId="7" xfId="2" applyNumberFormat="1" applyFont="1" applyFill="1" applyBorder="1" applyAlignment="1" applyProtection="1">
      <alignment horizontal="center" vertical="top" wrapText="1"/>
      <protection locked="0"/>
    </xf>
    <xf numFmtId="183" fontId="22" fillId="17" borderId="8" xfId="2" applyNumberFormat="1" applyFont="1" applyFill="1" applyBorder="1" applyAlignment="1" applyProtection="1">
      <alignment horizontal="center" vertical="top" wrapText="1"/>
      <protection locked="0"/>
    </xf>
    <xf numFmtId="0" fontId="0" fillId="2" borderId="12" xfId="0" applyFill="1" applyBorder="1" applyAlignment="1">
      <alignment horizontal="center"/>
    </xf>
    <xf numFmtId="0" fontId="0" fillId="17" borderId="14" xfId="0" applyFill="1" applyBorder="1" applyAlignment="1" applyProtection="1">
      <alignment horizontal="center" vertical="top" wrapText="1"/>
      <protection locked="0"/>
    </xf>
    <xf numFmtId="0" fontId="0" fillId="17" borderId="1" xfId="0" applyFill="1" applyBorder="1" applyAlignment="1" applyProtection="1">
      <alignment horizontal="center"/>
      <protection locked="0"/>
    </xf>
    <xf numFmtId="0" fontId="0" fillId="17" borderId="2" xfId="0" applyFill="1" applyBorder="1" applyAlignment="1" applyProtection="1">
      <alignment horizontal="center"/>
      <protection locked="0"/>
    </xf>
    <xf numFmtId="0" fontId="0" fillId="17" borderId="3" xfId="0" applyFill="1" applyBorder="1" applyAlignment="1" applyProtection="1">
      <alignment horizontal="center"/>
      <protection locked="0"/>
    </xf>
    <xf numFmtId="0" fontId="0" fillId="17" borderId="4" xfId="0" applyFill="1" applyBorder="1" applyAlignment="1" applyProtection="1">
      <alignment horizontal="center"/>
      <protection locked="0"/>
    </xf>
    <xf numFmtId="0" fontId="0" fillId="17" borderId="0" xfId="0" applyFill="1" applyAlignment="1" applyProtection="1">
      <alignment horizontal="center"/>
      <protection locked="0"/>
    </xf>
    <xf numFmtId="0" fontId="0" fillId="17" borderId="5" xfId="0" applyFill="1" applyBorder="1" applyAlignment="1" applyProtection="1">
      <alignment horizontal="center"/>
      <protection locked="0"/>
    </xf>
    <xf numFmtId="0" fontId="0" fillId="17" borderId="6" xfId="0" applyFill="1" applyBorder="1" applyAlignment="1" applyProtection="1">
      <alignment horizontal="center"/>
      <protection locked="0"/>
    </xf>
    <xf numFmtId="0" fontId="0" fillId="17" borderId="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21" fillId="2" borderId="1" xfId="0" applyFont="1" applyFill="1" applyBorder="1" applyAlignment="1">
      <alignment horizontal="center"/>
    </xf>
    <xf numFmtId="0" fontId="21" fillId="2" borderId="2" xfId="0" applyFont="1" applyFill="1" applyBorder="1" applyAlignment="1">
      <alignment horizontal="center"/>
    </xf>
    <xf numFmtId="0" fontId="0" fillId="0" borderId="2" xfId="0" applyBorder="1"/>
    <xf numFmtId="0" fontId="0" fillId="0" borderId="3" xfId="0" applyBorder="1"/>
    <xf numFmtId="0" fontId="21" fillId="2" borderId="4" xfId="0" applyFont="1" applyFill="1" applyBorder="1" applyAlignment="1">
      <alignment horizontal="center"/>
    </xf>
    <xf numFmtId="0" fontId="21" fillId="2" borderId="0" xfId="0" applyFont="1" applyFill="1" applyAlignment="1">
      <alignment horizontal="center"/>
    </xf>
    <xf numFmtId="0" fontId="0" fillId="0" borderId="0" xfId="0"/>
    <xf numFmtId="0" fontId="0" fillId="0" borderId="5" xfId="0" applyBorder="1"/>
    <xf numFmtId="0" fontId="31" fillId="5" borderId="9" xfId="1" applyFill="1" applyBorder="1" applyAlignment="1" applyProtection="1">
      <alignment horizontal="center" wrapText="1"/>
    </xf>
    <xf numFmtId="0" fontId="31" fillId="0" borderId="10" xfId="1" applyBorder="1" applyAlignment="1" applyProtection="1"/>
    <xf numFmtId="0" fontId="31" fillId="0" borderId="11" xfId="1" applyBorder="1" applyAlignment="1" applyProtection="1"/>
    <xf numFmtId="0" fontId="22" fillId="2" borderId="4" xfId="0" applyFont="1" applyFill="1" applyBorder="1" applyAlignment="1">
      <alignment horizontal="center"/>
    </xf>
    <xf numFmtId="0" fontId="22" fillId="2" borderId="0" xfId="0" applyFont="1" applyFill="1" applyAlignment="1">
      <alignment horizontal="center"/>
    </xf>
    <xf numFmtId="0" fontId="29" fillId="2" borderId="4" xfId="0" applyFont="1" applyFill="1" applyBorder="1" applyAlignment="1">
      <alignment horizontal="center"/>
    </xf>
    <xf numFmtId="0" fontId="29" fillId="2" borderId="0" xfId="0" applyFont="1" applyFill="1" applyAlignment="1">
      <alignment horizontal="center"/>
    </xf>
    <xf numFmtId="0" fontId="12" fillId="0" borderId="0" xfId="0" applyFont="1"/>
    <xf numFmtId="0" fontId="12" fillId="0" borderId="5" xfId="0" applyFont="1" applyBorder="1"/>
    <xf numFmtId="0" fontId="51" fillId="2" borderId="1" xfId="0" applyFont="1" applyFill="1" applyBorder="1" applyAlignment="1">
      <alignment horizontal="center"/>
    </xf>
    <xf numFmtId="0" fontId="51" fillId="2" borderId="2" xfId="0" applyFont="1" applyFill="1" applyBorder="1" applyAlignment="1">
      <alignment horizontal="center"/>
    </xf>
    <xf numFmtId="0" fontId="52" fillId="0" borderId="3" xfId="0" applyFont="1" applyBorder="1" applyAlignment="1">
      <alignment horizontal="center"/>
    </xf>
    <xf numFmtId="0" fontId="52" fillId="2" borderId="4" xfId="0" applyFont="1" applyFill="1" applyBorder="1" applyAlignment="1">
      <alignment horizontal="center" vertical="center"/>
    </xf>
    <xf numFmtId="0" fontId="52" fillId="2" borderId="0" xfId="0" applyFont="1" applyFill="1" applyAlignment="1">
      <alignment horizontal="center" vertical="center"/>
    </xf>
    <xf numFmtId="0" fontId="52" fillId="0" borderId="5" xfId="0" applyFont="1" applyBorder="1" applyAlignment="1">
      <alignment horizontal="center" vertical="center"/>
    </xf>
    <xf numFmtId="0" fontId="51" fillId="2" borderId="4" xfId="0" applyFont="1" applyFill="1" applyBorder="1" applyAlignment="1">
      <alignment horizontal="center"/>
    </xf>
    <xf numFmtId="0" fontId="51" fillId="2" borderId="0" xfId="0" applyFont="1" applyFill="1" applyAlignment="1">
      <alignment horizontal="center"/>
    </xf>
    <xf numFmtId="0" fontId="52" fillId="0" borderId="5" xfId="0" applyFont="1" applyBorder="1" applyAlignment="1">
      <alignment horizontal="center"/>
    </xf>
    <xf numFmtId="0" fontId="42" fillId="0" borderId="0" xfId="0" applyFont="1" applyAlignment="1">
      <alignment horizontal="center"/>
    </xf>
    <xf numFmtId="0" fontId="42" fillId="0" borderId="30" xfId="0" applyFont="1" applyBorder="1" applyAlignment="1">
      <alignment horizontal="center"/>
    </xf>
    <xf numFmtId="0" fontId="42" fillId="0" borderId="31" xfId="0" applyFont="1" applyBorder="1" applyAlignment="1">
      <alignment horizontal="center"/>
    </xf>
    <xf numFmtId="0" fontId="29" fillId="0" borderId="2" xfId="0" applyFont="1" applyBorder="1" applyAlignment="1">
      <alignment horizontal="center"/>
    </xf>
    <xf numFmtId="0" fontId="29" fillId="0" borderId="7" xfId="0" applyFont="1" applyBorder="1" applyAlignment="1">
      <alignment horizontal="center"/>
    </xf>
    <xf numFmtId="0" fontId="18" fillId="9" borderId="7" xfId="0" applyFont="1" applyFill="1" applyBorder="1" applyProtection="1">
      <protection locked="0"/>
    </xf>
    <xf numFmtId="0" fontId="43" fillId="0" borderId="0" xfId="0" applyFont="1" applyAlignment="1">
      <alignment horizontal="center" wrapText="1"/>
    </xf>
    <xf numFmtId="0" fontId="29" fillId="0" borderId="0" xfId="0" applyFont="1" applyAlignment="1">
      <alignment horizontal="left" vertical="top"/>
    </xf>
    <xf numFmtId="0" fontId="29" fillId="0" borderId="0" xfId="0" applyFont="1" applyAlignment="1">
      <alignment horizontal="left"/>
    </xf>
    <xf numFmtId="0" fontId="0" fillId="9" borderId="0" xfId="0" applyFill="1" applyAlignment="1" applyProtection="1">
      <alignment horizontal="center" vertical="top" wrapText="1"/>
      <protection locked="0"/>
    </xf>
    <xf numFmtId="0" fontId="18" fillId="9" borderId="0" xfId="0" applyFont="1" applyFill="1" applyAlignment="1" applyProtection="1">
      <alignment horizontal="center" vertical="top" wrapText="1"/>
      <protection locked="0"/>
    </xf>
    <xf numFmtId="0" fontId="18" fillId="6" borderId="0" xfId="0" applyFont="1" applyFill="1" applyAlignment="1">
      <alignment horizontal="center"/>
    </xf>
    <xf numFmtId="0" fontId="5" fillId="16" borderId="0" xfId="0" applyFont="1" applyFill="1" applyAlignment="1">
      <alignment horizontal="left"/>
    </xf>
    <xf numFmtId="0" fontId="23" fillId="16" borderId="12" xfId="0" applyFont="1" applyFill="1" applyBorder="1" applyAlignment="1">
      <alignment horizontal="left"/>
    </xf>
    <xf numFmtId="0" fontId="23" fillId="16" borderId="18" xfId="0" applyFont="1" applyFill="1" applyBorder="1" applyAlignment="1">
      <alignment horizontal="left"/>
    </xf>
    <xf numFmtId="0" fontId="23" fillId="16" borderId="13" xfId="0" applyFont="1" applyFill="1" applyBorder="1" applyAlignment="1">
      <alignment horizontal="left"/>
    </xf>
    <xf numFmtId="0" fontId="20" fillId="0" borderId="0" xfId="0" applyFont="1" applyAlignment="1">
      <alignment horizontal="left" vertical="top"/>
    </xf>
    <xf numFmtId="0" fontId="20" fillId="2" borderId="1" xfId="0" applyFont="1" applyFill="1" applyBorder="1" applyAlignment="1">
      <alignment horizontal="center"/>
    </xf>
    <xf numFmtId="0" fontId="20" fillId="2" borderId="2" xfId="0" applyFont="1" applyFill="1" applyBorder="1" applyAlignment="1">
      <alignment horizontal="center"/>
    </xf>
    <xf numFmtId="0" fontId="20" fillId="2" borderId="4" xfId="0" applyFont="1" applyFill="1" applyBorder="1" applyAlignment="1">
      <alignment horizontal="center"/>
    </xf>
    <xf numFmtId="0" fontId="5" fillId="2" borderId="0" xfId="0" applyFont="1" applyFill="1" applyAlignment="1">
      <alignment horizontal="left"/>
    </xf>
    <xf numFmtId="0" fontId="23" fillId="16" borderId="0" xfId="0" applyFont="1" applyFill="1" applyAlignment="1">
      <alignment horizontal="left"/>
    </xf>
    <xf numFmtId="0" fontId="6" fillId="17" borderId="97" xfId="0" applyFont="1" applyFill="1" applyBorder="1" applyAlignment="1">
      <alignment horizontal="center" vertical="top" wrapText="1"/>
    </xf>
    <xf numFmtId="0" fontId="6" fillId="17" borderId="98" xfId="0" applyFont="1" applyFill="1" applyBorder="1" applyAlignment="1">
      <alignment horizontal="center" vertical="top" wrapText="1"/>
    </xf>
    <xf numFmtId="14" fontId="6" fillId="17" borderId="14" xfId="0" applyNumberFormat="1" applyFont="1" applyFill="1" applyBorder="1" applyAlignment="1">
      <alignment horizontal="center"/>
    </xf>
    <xf numFmtId="0" fontId="6" fillId="17" borderId="14" xfId="0" applyFont="1" applyFill="1" applyBorder="1" applyAlignment="1">
      <alignment horizontal="left" vertical="top"/>
    </xf>
    <xf numFmtId="0" fontId="6" fillId="7" borderId="20" xfId="0" applyFont="1" applyFill="1" applyBorder="1" applyAlignment="1">
      <alignment horizontal="left" vertical="top"/>
    </xf>
    <xf numFmtId="0" fontId="6" fillId="7" borderId="21" xfId="0" applyFont="1" applyFill="1" applyBorder="1" applyAlignment="1">
      <alignment horizontal="left" vertical="top"/>
    </xf>
    <xf numFmtId="14" fontId="6" fillId="7" borderId="20" xfId="0" applyNumberFormat="1" applyFont="1" applyFill="1" applyBorder="1" applyAlignment="1">
      <alignment horizontal="center" vertical="top"/>
    </xf>
    <xf numFmtId="14" fontId="6" fillId="7" borderId="19" xfId="0" applyNumberFormat="1" applyFont="1" applyFill="1" applyBorder="1" applyAlignment="1">
      <alignment horizontal="center" vertical="top"/>
    </xf>
    <xf numFmtId="14" fontId="6" fillId="7" borderId="21" xfId="0" applyNumberFormat="1" applyFont="1" applyFill="1" applyBorder="1" applyAlignment="1">
      <alignment horizontal="center" vertical="top"/>
    </xf>
    <xf numFmtId="0" fontId="6" fillId="7" borderId="20" xfId="0" applyFont="1" applyFill="1" applyBorder="1" applyAlignment="1">
      <alignment horizontal="left" vertical="top" wrapText="1"/>
    </xf>
    <xf numFmtId="0" fontId="6" fillId="7" borderId="19" xfId="0" applyFont="1" applyFill="1" applyBorder="1" applyAlignment="1">
      <alignment horizontal="left" vertical="top" wrapText="1"/>
    </xf>
    <xf numFmtId="0" fontId="6" fillId="7" borderId="21" xfId="0" applyFont="1" applyFill="1" applyBorder="1" applyAlignment="1">
      <alignment horizontal="left" vertical="top" wrapText="1"/>
    </xf>
    <xf numFmtId="0" fontId="29" fillId="17" borderId="20" xfId="0" applyFont="1" applyFill="1" applyBorder="1" applyAlignment="1">
      <alignment horizontal="center" vertical="top"/>
    </xf>
    <xf numFmtId="0" fontId="29" fillId="17" borderId="19" xfId="0" applyFont="1" applyFill="1" applyBorder="1" applyAlignment="1">
      <alignment horizontal="center" vertical="top"/>
    </xf>
    <xf numFmtId="0" fontId="6" fillId="17" borderId="92" xfId="0" applyFont="1" applyFill="1" applyBorder="1" applyAlignment="1">
      <alignment horizontal="left" vertical="top"/>
    </xf>
    <xf numFmtId="0" fontId="6" fillId="17" borderId="94" xfId="0" applyFont="1" applyFill="1" applyBorder="1" applyAlignment="1">
      <alignment horizontal="left" vertical="top"/>
    </xf>
    <xf numFmtId="14" fontId="6" fillId="17" borderId="14" xfId="0" applyNumberFormat="1" applyFont="1" applyFill="1" applyBorder="1" applyAlignment="1">
      <alignment horizontal="center" vertical="top"/>
    </xf>
    <xf numFmtId="14" fontId="4" fillId="0" borderId="20" xfId="0" applyNumberFormat="1" applyFont="1" applyBorder="1" applyAlignment="1">
      <alignment horizontal="left" vertical="top"/>
    </xf>
    <xf numFmtId="14" fontId="4" fillId="0" borderId="19" xfId="0" applyNumberFormat="1" applyFont="1" applyBorder="1" applyAlignment="1">
      <alignment horizontal="left" vertical="top"/>
    </xf>
    <xf numFmtId="14" fontId="4" fillId="0" borderId="21" xfId="0" applyNumberFormat="1" applyFont="1" applyBorder="1" applyAlignment="1">
      <alignment horizontal="left" vertical="top"/>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6" fillId="26" borderId="14" xfId="0" applyFont="1" applyFill="1" applyBorder="1" applyAlignment="1">
      <alignment horizontal="left" vertical="top" wrapText="1"/>
    </xf>
    <xf numFmtId="14" fontId="6" fillId="26" borderId="14" xfId="0" applyNumberFormat="1" applyFont="1" applyFill="1" applyBorder="1" applyAlignment="1">
      <alignment horizontal="center" vertical="top"/>
    </xf>
    <xf numFmtId="0" fontId="5" fillId="0" borderId="20"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81" fillId="6" borderId="43" xfId="0" applyFont="1" applyFill="1" applyBorder="1" applyAlignment="1">
      <alignment horizontal="center"/>
    </xf>
    <xf numFmtId="0" fontId="81" fillId="6" borderId="80" xfId="0" applyFont="1" applyFill="1" applyBorder="1" applyAlignment="1">
      <alignment horizontal="center"/>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19" fillId="7" borderId="62" xfId="0" applyFont="1" applyFill="1" applyBorder="1" applyAlignment="1">
      <alignment horizontal="left" vertical="top" wrapText="1"/>
    </xf>
    <xf numFmtId="10" fontId="24" fillId="8" borderId="0" xfId="0" applyNumberFormat="1" applyFont="1" applyFill="1" applyAlignment="1" applyProtection="1">
      <alignment horizontal="center"/>
      <protection hidden="1"/>
    </xf>
    <xf numFmtId="2" fontId="34" fillId="8" borderId="73" xfId="0" applyNumberFormat="1" applyFont="1" applyFill="1" applyBorder="1" applyAlignment="1" applyProtection="1">
      <alignment horizontal="center" vertical="center"/>
      <protection hidden="1"/>
    </xf>
    <xf numFmtId="2" fontId="34" fillId="8" borderId="74" xfId="0" applyNumberFormat="1" applyFont="1" applyFill="1" applyBorder="1" applyAlignment="1" applyProtection="1">
      <alignment horizontal="center" vertical="center"/>
      <protection hidden="1"/>
    </xf>
    <xf numFmtId="2" fontId="44" fillId="8" borderId="49" xfId="0" applyNumberFormat="1" applyFont="1" applyFill="1" applyBorder="1" applyAlignment="1" applyProtection="1">
      <alignment horizontal="center" vertical="center"/>
      <protection hidden="1"/>
    </xf>
    <xf numFmtId="2" fontId="44" fillId="8" borderId="51" xfId="0" applyNumberFormat="1" applyFont="1" applyFill="1" applyBorder="1" applyAlignment="1" applyProtection="1">
      <alignment horizontal="center" vertical="center"/>
      <protection hidden="1"/>
    </xf>
    <xf numFmtId="2" fontId="44" fillId="8" borderId="50" xfId="0" applyNumberFormat="1" applyFont="1" applyFill="1" applyBorder="1" applyAlignment="1" applyProtection="1">
      <alignment horizontal="center" vertical="center"/>
      <protection hidden="1"/>
    </xf>
    <xf numFmtId="0" fontId="23" fillId="8" borderId="56" xfId="0" applyFont="1" applyFill="1" applyBorder="1" applyAlignment="1" applyProtection="1">
      <alignment horizontal="center" vertical="center"/>
      <protection hidden="1"/>
    </xf>
    <xf numFmtId="0" fontId="23" fillId="8" borderId="57" xfId="0" applyFont="1" applyFill="1" applyBorder="1" applyAlignment="1" applyProtection="1">
      <alignment horizontal="center" vertical="center"/>
      <protection hidden="1"/>
    </xf>
    <xf numFmtId="0" fontId="0" fillId="0" borderId="78" xfId="0" applyBorder="1" applyAlignment="1">
      <alignment horizontal="center"/>
    </xf>
    <xf numFmtId="0" fontId="0" fillId="0" borderId="37" xfId="0" applyBorder="1" applyAlignment="1">
      <alignment horizontal="center"/>
    </xf>
    <xf numFmtId="0" fontId="0" fillId="0" borderId="79" xfId="0" applyBorder="1" applyAlignment="1">
      <alignment horizontal="center"/>
    </xf>
    <xf numFmtId="0" fontId="0" fillId="0" borderId="69" xfId="0" applyBorder="1" applyAlignment="1">
      <alignment horizontal="center"/>
    </xf>
    <xf numFmtId="44" fontId="0" fillId="8" borderId="1" xfId="2" applyFont="1" applyFill="1" applyBorder="1" applyAlignment="1">
      <alignment horizontal="center"/>
    </xf>
    <xf numFmtId="44" fontId="0" fillId="8" borderId="4" xfId="2" applyFont="1" applyFill="1" applyBorder="1" applyAlignment="1">
      <alignment horizontal="center"/>
    </xf>
    <xf numFmtId="0" fontId="21" fillId="2" borderId="1" xfId="0" applyFont="1" applyFill="1" applyBorder="1" applyAlignment="1">
      <alignment wrapText="1"/>
    </xf>
    <xf numFmtId="0" fontId="21" fillId="2" borderId="2" xfId="0" applyFont="1" applyFill="1" applyBorder="1"/>
    <xf numFmtId="0" fontId="21" fillId="2" borderId="3" xfId="0" applyFont="1" applyFill="1" applyBorder="1"/>
    <xf numFmtId="0" fontId="21" fillId="2" borderId="4" xfId="0" applyFont="1" applyFill="1" applyBorder="1"/>
    <xf numFmtId="0" fontId="21" fillId="2" borderId="0" xfId="0" applyFont="1" applyFill="1"/>
    <xf numFmtId="0" fontId="21" fillId="2" borderId="5" xfId="0" applyFont="1" applyFill="1" applyBorder="1"/>
    <xf numFmtId="0" fontId="21" fillId="2" borderId="6" xfId="0" applyFont="1" applyFill="1" applyBorder="1"/>
    <xf numFmtId="0" fontId="21" fillId="2" borderId="7" xfId="0" applyFont="1" applyFill="1" applyBorder="1"/>
    <xf numFmtId="0" fontId="21" fillId="2" borderId="8" xfId="0" applyFont="1" applyFill="1" applyBorder="1"/>
    <xf numFmtId="0" fontId="18" fillId="6" borderId="4" xfId="0" applyFont="1" applyFill="1" applyBorder="1"/>
    <xf numFmtId="0" fontId="5" fillId="0" borderId="92" xfId="0" applyFont="1" applyBorder="1" applyAlignment="1">
      <alignment vertical="top" wrapText="1"/>
    </xf>
    <xf numFmtId="0" fontId="5" fillId="0" borderId="94" xfId="0" applyFont="1" applyBorder="1" applyAlignment="1">
      <alignment vertical="top" wrapText="1"/>
    </xf>
    <xf numFmtId="0" fontId="5" fillId="0" borderId="93" xfId="0" applyFont="1" applyBorder="1" applyAlignment="1">
      <alignment vertical="top" wrapText="1"/>
    </xf>
    <xf numFmtId="0" fontId="5" fillId="0" borderId="92" xfId="0" applyFont="1" applyBorder="1" applyAlignment="1">
      <alignment wrapText="1"/>
    </xf>
    <xf numFmtId="0" fontId="5" fillId="0" borderId="20" xfId="0" applyFont="1" applyBorder="1" applyAlignment="1">
      <alignment wrapText="1"/>
    </xf>
    <xf numFmtId="0" fontId="5" fillId="0" borderId="94" xfId="0" applyFont="1" applyBorder="1" applyAlignment="1">
      <alignment wrapText="1"/>
    </xf>
    <xf numFmtId="0" fontId="5" fillId="0" borderId="19" xfId="0" applyFont="1" applyBorder="1" applyAlignment="1">
      <alignment wrapText="1"/>
    </xf>
    <xf numFmtId="0" fontId="5" fillId="0" borderId="93" xfId="0" applyFont="1" applyBorder="1" applyAlignment="1">
      <alignment wrapText="1"/>
    </xf>
    <xf numFmtId="0" fontId="5" fillId="0" borderId="21" xfId="0" applyFont="1" applyBorder="1" applyAlignment="1">
      <alignment wrapText="1"/>
    </xf>
    <xf numFmtId="0" fontId="0" fillId="0" borderId="19" xfId="0" applyBorder="1"/>
    <xf numFmtId="14" fontId="1" fillId="0" borderId="19" xfId="0" applyNumberFormat="1" applyFont="1" applyBorder="1"/>
    <xf numFmtId="0" fontId="1" fillId="0" borderId="19" xfId="0" applyFont="1" applyBorder="1"/>
    <xf numFmtId="0" fontId="1" fillId="0" borderId="19" xfId="0" applyFont="1" applyBorder="1" applyAlignment="1">
      <alignment wrapText="1"/>
    </xf>
    <xf numFmtId="173" fontId="29" fillId="6" borderId="19" xfId="0" applyNumberFormat="1" applyFont="1" applyFill="1" applyBorder="1" applyAlignment="1">
      <alignment horizontal="left" vertical="center" wrapText="1"/>
    </xf>
    <xf numFmtId="14" fontId="1" fillId="0" borderId="20" xfId="0" applyNumberFormat="1" applyFont="1" applyBorder="1"/>
    <xf numFmtId="0" fontId="1" fillId="0" borderId="20" xfId="0" applyFont="1" applyBorder="1"/>
    <xf numFmtId="0" fontId="1" fillId="0" borderId="20" xfId="0" applyFont="1" applyBorder="1" applyAlignment="1">
      <alignment wrapText="1"/>
    </xf>
    <xf numFmtId="0" fontId="1" fillId="0" borderId="21" xfId="0" applyFont="1" applyBorder="1"/>
    <xf numFmtId="0" fontId="1" fillId="0" borderId="21" xfId="0" applyFont="1" applyBorder="1" applyAlignment="1">
      <alignment wrapText="1"/>
    </xf>
    <xf numFmtId="49" fontId="7" fillId="18" borderId="20" xfId="0" applyNumberFormat="1" applyFont="1" applyFill="1" applyBorder="1" applyAlignment="1" applyProtection="1">
      <alignment horizontal="center"/>
      <protection hidden="1"/>
    </xf>
  </cellXfs>
  <cellStyles count="18">
    <cellStyle name="40% - Akzent1 2" xfId="6" xr:uid="{00000000-0005-0000-0000-000000000000}"/>
    <cellStyle name="40% - Akzent3 2" xfId="7" xr:uid="{00000000-0005-0000-0000-000001000000}"/>
    <cellStyle name="Datum" xfId="8" xr:uid="{00000000-0005-0000-0000-000002000000}"/>
    <cellStyle name="Eingabe 2" xfId="4" xr:uid="{00000000-0005-0000-0000-000003000000}"/>
    <cellStyle name="Eingabe 2 2" xfId="9" xr:uid="{00000000-0005-0000-0000-000004000000}"/>
    <cellStyle name="Eingabe 3" xfId="10" xr:uid="{00000000-0005-0000-0000-000005000000}"/>
    <cellStyle name="Formelfeld" xfId="11" xr:uid="{00000000-0005-0000-0000-000006000000}"/>
    <cellStyle name="Formular" xfId="12" xr:uid="{00000000-0005-0000-0000-000007000000}"/>
    <cellStyle name="Link" xfId="1" builtinId="8"/>
    <cellStyle name="Prozent" xfId="3" builtinId="5"/>
    <cellStyle name="Prozent 2" xfId="5" xr:uid="{00000000-0005-0000-0000-00000A000000}"/>
    <cellStyle name="Standard" xfId="0" builtinId="0"/>
    <cellStyle name="Standard 2" xfId="13" xr:uid="{00000000-0005-0000-0000-00000C000000}"/>
    <cellStyle name="Standard 4" xfId="17" xr:uid="{00000000-0005-0000-0000-00000D000000}"/>
    <cellStyle name="Stunden" xfId="14" xr:uid="{00000000-0005-0000-0000-00000E000000}"/>
    <cellStyle name="Text" xfId="15" xr:uid="{00000000-0005-0000-0000-00000F000000}"/>
    <cellStyle name="VZK" xfId="16" xr:uid="{00000000-0005-0000-0000-000010000000}"/>
    <cellStyle name="Währung" xfId="2" builtinId="4"/>
  </cellStyles>
  <dxfs count="63">
    <dxf>
      <font>
        <color theme="0"/>
      </font>
      <fill>
        <patternFill patternType="none">
          <bgColor auto="1"/>
        </patternFill>
      </fill>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font>
    </dxf>
    <dxf>
      <font>
        <color theme="0"/>
      </font>
      <fill>
        <patternFill>
          <bgColor theme="0"/>
        </patternFill>
      </fill>
      <border>
        <left/>
        <right/>
        <top/>
        <bottom/>
        <vertical/>
        <horizontal/>
      </border>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tint="-4.9989318521683403E-2"/>
      </font>
      <fill>
        <patternFill>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tint="-0.14996795556505021"/>
      </font>
      <fill>
        <patternFill>
          <bgColor theme="0" tint="-0.24994659260841701"/>
        </patternFill>
      </fill>
    </dxf>
    <dxf>
      <font>
        <color theme="0"/>
      </font>
      <fill>
        <patternFill>
          <bgColor theme="0"/>
        </patternFill>
      </fill>
      <border>
        <left/>
        <right/>
        <top/>
        <bottom/>
        <vertical/>
        <horizontal/>
      </border>
    </dxf>
    <dxf>
      <font>
        <color theme="0"/>
      </font>
      <fill>
        <patternFill>
          <fgColor theme="0"/>
          <bgColor theme="0"/>
        </patternFill>
      </fill>
      <border>
        <left style="thin">
          <color auto="1"/>
        </left>
        <right/>
        <top/>
        <bottom/>
        <vertical/>
        <horizontal/>
      </border>
    </dxf>
    <dxf>
      <fill>
        <patternFill>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style="thin">
          <color auto="1"/>
        </left>
        <right/>
        <top/>
        <bottom/>
        <vertical/>
        <horizontal/>
      </border>
    </dxf>
    <dxf>
      <font>
        <color theme="0"/>
      </font>
      <fill>
        <patternFill>
          <fgColor theme="0"/>
          <bgColor theme="0"/>
        </patternFill>
      </fill>
      <border>
        <left/>
        <right/>
        <top/>
        <bottom/>
        <vertical/>
        <horizontal/>
      </border>
    </dxf>
    <dxf>
      <fill>
        <patternFill>
          <bgColor theme="0"/>
        </patternFill>
      </fill>
    </dxf>
    <dxf>
      <fill>
        <patternFill>
          <fgColor theme="0"/>
        </patternFill>
      </fill>
      <border>
        <left/>
        <right/>
        <top/>
        <bottom/>
        <vertical/>
        <horizontal/>
      </border>
    </dxf>
    <dxf>
      <font>
        <color theme="0" tint="-0.14996795556505021"/>
      </font>
      <fill>
        <patternFill>
          <bgColor theme="0" tint="-0.24994659260841701"/>
        </patternFill>
      </fill>
    </dxf>
    <dxf>
      <font>
        <color theme="0" tint="-0.24994659260841701"/>
      </font>
      <fill>
        <patternFill>
          <bgColor theme="0" tint="-0.24994659260841701"/>
        </patternFill>
      </fill>
    </dxf>
    <dxf>
      <font>
        <color theme="0"/>
      </font>
      <fill>
        <patternFill>
          <fgColor theme="0"/>
          <bgColor theme="0"/>
        </patternFill>
      </fill>
      <border>
        <left/>
        <right style="thin">
          <color auto="1"/>
        </right>
        <top/>
        <bottom/>
        <vertical/>
        <horizontal/>
      </border>
    </dxf>
    <dxf>
      <border>
        <left/>
        <right/>
        <top/>
        <bottom/>
        <vertical/>
        <horizontal/>
      </border>
    </dxf>
    <dxf>
      <font>
        <color theme="0"/>
      </font>
      <fill>
        <patternFill>
          <bgColor theme="0"/>
        </patternFill>
      </fill>
      <border>
        <left style="thin">
          <color auto="1"/>
        </left>
        <right/>
        <top/>
        <bottom/>
        <vertical/>
        <horizontal/>
      </border>
    </dxf>
    <dxf>
      <font>
        <color theme="0"/>
      </font>
      <fill>
        <patternFill>
          <fgColor theme="0"/>
          <bgColor theme="0"/>
        </patternFill>
      </fill>
      <border>
        <left/>
        <right style="thin">
          <color auto="1"/>
        </right>
        <top/>
        <bottom/>
        <vertical/>
        <horizontal/>
      </border>
    </dxf>
    <dxf>
      <font>
        <color theme="0" tint="-0.14996795556505021"/>
      </font>
      <fill>
        <patternFill>
          <bgColor theme="0" tint="-0.24994659260841701"/>
        </patternFill>
      </fill>
      <border>
        <left/>
        <right/>
        <top/>
        <bottom/>
        <vertical/>
        <horizontal/>
      </border>
    </dxf>
    <dxf>
      <font>
        <color theme="0"/>
      </font>
      <fill>
        <patternFill>
          <fgColor theme="0"/>
          <bgColor theme="0"/>
        </patternFill>
      </fill>
      <border>
        <left style="thin">
          <color auto="1"/>
        </left>
        <right/>
        <top/>
        <bottom/>
        <vertical/>
        <horizontal/>
      </border>
    </dxf>
    <dxf>
      <font>
        <color theme="0" tint="-0.14996795556505021"/>
      </font>
      <fill>
        <patternFill>
          <bgColor theme="0" tint="-0.24994659260841701"/>
        </patternFill>
      </fill>
      <border>
        <left/>
        <right/>
        <top style="thin">
          <color auto="1"/>
        </top>
        <bottom/>
        <vertical/>
        <horizontal/>
      </border>
    </dxf>
    <dxf>
      <font>
        <color theme="0"/>
      </font>
      <fill>
        <patternFill>
          <fgColor theme="0"/>
          <bgColor theme="0"/>
        </patternFill>
      </fill>
      <border>
        <left/>
        <right/>
        <top/>
        <bottom/>
        <vertical/>
        <horizontal/>
      </border>
    </dxf>
    <dxf>
      <font>
        <color theme="0" tint="-0.24994659260841701"/>
      </font>
      <fill>
        <patternFill>
          <bgColor theme="0" tint="-0.24994659260841701"/>
        </patternFill>
      </fill>
    </dxf>
    <dxf>
      <font>
        <color theme="0"/>
      </font>
      <fill>
        <patternFill>
          <bgColor theme="0" tint="-0.14996795556505021"/>
        </patternFill>
      </fill>
    </dxf>
    <dxf>
      <font>
        <color theme="0" tint="-0.14996795556505021"/>
      </font>
      <fill>
        <patternFill>
          <bgColor theme="0" tint="-0.24994659260841701"/>
        </patternFill>
      </fill>
      <border>
        <left/>
        <top/>
        <bottom/>
        <vertical/>
        <horizontal/>
      </border>
    </dxf>
    <dxf>
      <font>
        <color theme="0"/>
      </font>
      <fill>
        <patternFill>
          <bgColor theme="0"/>
        </patternFill>
      </fill>
      <border>
        <left style="thin">
          <color auto="1"/>
        </left>
        <right/>
        <top/>
        <bottom/>
        <vertical/>
        <horizontal/>
      </border>
    </dxf>
    <dxf>
      <font>
        <color theme="0"/>
      </font>
      <fill>
        <patternFill>
          <fgColor theme="0"/>
        </patternFill>
      </fill>
      <border>
        <vertical/>
        <horizontal/>
      </border>
    </dxf>
    <dxf>
      <font>
        <color theme="0" tint="-0.14996795556505021"/>
      </font>
      <fill>
        <patternFill>
          <bgColor theme="0" tint="-0.14996795556505021"/>
        </patternFill>
      </fill>
      <border>
        <bottom/>
        <vertical/>
        <horizontal/>
      </border>
    </dxf>
    <dxf>
      <fill>
        <patternFill>
          <bgColor theme="0"/>
        </patternFill>
      </fill>
    </dxf>
  </dxfs>
  <tableStyles count="0" defaultTableStyle="TableStyleMedium2" defaultPivotStyle="PivotStyleLight16"/>
  <colors>
    <mruColors>
      <color rgb="FF99CCFF"/>
      <color rgb="FFFBF7A7"/>
      <color rgb="FFFFFF99"/>
      <color rgb="FFFBFD95"/>
      <color rgb="FFE7FBA7"/>
      <color rgb="FFCCECFF"/>
      <color rgb="FFFF33CC"/>
      <color rgb="FFFFF4CA"/>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828675</xdr:colOff>
          <xdr:row>41</xdr:row>
          <xdr:rowOff>38100</xdr:rowOff>
        </xdr:from>
        <xdr:to>
          <xdr:col>9</xdr:col>
          <xdr:colOff>66675</xdr:colOff>
          <xdr:row>43</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48</xdr:row>
          <xdr:rowOff>133350</xdr:rowOff>
        </xdr:from>
        <xdr:to>
          <xdr:col>12</xdr:col>
          <xdr:colOff>485775</xdr:colOff>
          <xdr:row>50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8</xdr:row>
      <xdr:rowOff>57151</xdr:rowOff>
    </xdr:from>
    <xdr:to>
      <xdr:col>4</xdr:col>
      <xdr:colOff>1790700</xdr:colOff>
      <xdr:row>9</xdr:row>
      <xdr:rowOff>18773</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163175" y="28632151"/>
          <a:ext cx="923925" cy="666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31</xdr:row>
      <xdr:rowOff>19050</xdr:rowOff>
    </xdr:from>
    <xdr:to>
      <xdr:col>8</xdr:col>
      <xdr:colOff>323850</xdr:colOff>
      <xdr:row>31</xdr:row>
      <xdr:rowOff>64769</xdr:rowOff>
    </xdr:to>
    <xdr:sp macro="" textlink="">
      <xdr:nvSpPr>
        <xdr:cNvPr id="2" name="Pfeil nach links 1">
          <a:extLst>
            <a:ext uri="{FF2B5EF4-FFF2-40B4-BE49-F238E27FC236}">
              <a16:creationId xmlns:a16="http://schemas.microsoft.com/office/drawing/2014/main" id="{00000000-0008-0000-0700-000002000000}"/>
            </a:ext>
          </a:extLst>
        </xdr:cNvPr>
        <xdr:cNvSpPr/>
      </xdr:nvSpPr>
      <xdr:spPr>
        <a:xfrm>
          <a:off x="13077825" y="104870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161925</xdr:colOff>
      <xdr:row>32</xdr:row>
      <xdr:rowOff>19050</xdr:rowOff>
    </xdr:from>
    <xdr:to>
      <xdr:col>8</xdr:col>
      <xdr:colOff>333375</xdr:colOff>
      <xdr:row>32</xdr:row>
      <xdr:rowOff>64769</xdr:rowOff>
    </xdr:to>
    <xdr:sp macro="" textlink="">
      <xdr:nvSpPr>
        <xdr:cNvPr id="3" name="Pfeil nach links 2">
          <a:extLst>
            <a:ext uri="{FF2B5EF4-FFF2-40B4-BE49-F238E27FC236}">
              <a16:creationId xmlns:a16="http://schemas.microsoft.com/office/drawing/2014/main" id="{00000000-0008-0000-0700-000003000000}"/>
            </a:ext>
          </a:extLst>
        </xdr:cNvPr>
        <xdr:cNvSpPr/>
      </xdr:nvSpPr>
      <xdr:spPr>
        <a:xfrm>
          <a:off x="13087350" y="1064895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152400</xdr:colOff>
      <xdr:row>33</xdr:row>
      <xdr:rowOff>28575</xdr:rowOff>
    </xdr:from>
    <xdr:to>
      <xdr:col>8</xdr:col>
      <xdr:colOff>323850</xdr:colOff>
      <xdr:row>33</xdr:row>
      <xdr:rowOff>74294</xdr:rowOff>
    </xdr:to>
    <xdr:sp macro="" textlink="">
      <xdr:nvSpPr>
        <xdr:cNvPr id="4" name="Pfeil nach links 3">
          <a:extLst>
            <a:ext uri="{FF2B5EF4-FFF2-40B4-BE49-F238E27FC236}">
              <a16:creationId xmlns:a16="http://schemas.microsoft.com/office/drawing/2014/main" id="{00000000-0008-0000-0700-000004000000}"/>
            </a:ext>
          </a:extLst>
        </xdr:cNvPr>
        <xdr:cNvSpPr/>
      </xdr:nvSpPr>
      <xdr:spPr>
        <a:xfrm>
          <a:off x="13077825" y="108204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171450</xdr:colOff>
      <xdr:row>34</xdr:row>
      <xdr:rowOff>19050</xdr:rowOff>
    </xdr:from>
    <xdr:to>
      <xdr:col>8</xdr:col>
      <xdr:colOff>342900</xdr:colOff>
      <xdr:row>34</xdr:row>
      <xdr:rowOff>64769</xdr:rowOff>
    </xdr:to>
    <xdr:sp macro="" textlink="">
      <xdr:nvSpPr>
        <xdr:cNvPr id="5" name="Pfeil nach links 4">
          <a:extLst>
            <a:ext uri="{FF2B5EF4-FFF2-40B4-BE49-F238E27FC236}">
              <a16:creationId xmlns:a16="http://schemas.microsoft.com/office/drawing/2014/main" id="{00000000-0008-0000-0700-000005000000}"/>
            </a:ext>
          </a:extLst>
        </xdr:cNvPr>
        <xdr:cNvSpPr/>
      </xdr:nvSpPr>
      <xdr:spPr>
        <a:xfrm>
          <a:off x="13096875" y="109728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AOKPLUS">
  <a:themeElements>
    <a:clrScheme name="AOK PLUS">
      <a:dk1>
        <a:sysClr val="windowText" lastClr="000000"/>
      </a:dk1>
      <a:lt1>
        <a:sysClr val="window" lastClr="FFFFFF"/>
      </a:lt1>
      <a:dk2>
        <a:srgbClr val="029646"/>
      </a:dk2>
      <a:lt2>
        <a:srgbClr val="EEECE1"/>
      </a:lt2>
      <a:accent1>
        <a:srgbClr val="CFE8B5"/>
      </a:accent1>
      <a:accent2>
        <a:srgbClr val="FDCA00"/>
      </a:accent2>
      <a:accent3>
        <a:srgbClr val="66BA06"/>
      </a:accent3>
      <a:accent4>
        <a:srgbClr val="EC540B"/>
      </a:accent4>
      <a:accent5>
        <a:srgbClr val="A0C013"/>
      </a:accent5>
      <a:accent6>
        <a:srgbClr val="B0B0B0"/>
      </a:accent6>
      <a:hlink>
        <a:srgbClr val="0000FF"/>
      </a:hlink>
      <a:folHlink>
        <a:srgbClr val="800080"/>
      </a:folHlink>
    </a:clrScheme>
    <a:fontScheme name="Executi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hyperlink" Target="mailto:vereinbarungen-pflege@ksv-sachsen.de" TargetMode="External"/><Relationship Id="rId1" Type="http://schemas.openxmlformats.org/officeDocument/2006/relationships/hyperlink" Target="mailto:vereinbarungen-pflege@ksv-sachsen.de"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hyperlink" Target="mailto:verguetung-pflege.sac@vdek.com" TargetMode="External"/><Relationship Id="rId2" Type="http://schemas.openxmlformats.org/officeDocument/2006/relationships/hyperlink" Target="mailto:vereinbarungen-pflege@ksv-sachsen.de" TargetMode="External"/><Relationship Id="rId1" Type="http://schemas.openxmlformats.org/officeDocument/2006/relationships/hyperlink" Target="mailto:pflegesatzvereinbarungen_sachsen@plus.aok.de" TargetMode="External"/><Relationship Id="rId6" Type="http://schemas.openxmlformats.org/officeDocument/2006/relationships/hyperlink" Target="mailto:alexander.bretschneider@barmer.de" TargetMode="External"/><Relationship Id="rId5" Type="http://schemas.openxmlformats.org/officeDocument/2006/relationships/hyperlink" Target="mailto:andre.kaden@barmer.de" TargetMode="External"/><Relationship Id="rId4" Type="http://schemas.openxmlformats.org/officeDocument/2006/relationships/hyperlink" Target="mailto:peter.hoeher@barmer.de"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G44"/>
  <sheetViews>
    <sheetView showGridLines="0" tabSelected="1" zoomScaleNormal="100" workbookViewId="0">
      <selection activeCell="I2" sqref="I2"/>
    </sheetView>
  </sheetViews>
  <sheetFormatPr baseColWidth="10" defaultRowHeight="14.25" x14ac:dyDescent="0.2"/>
  <cols>
    <col min="1" max="1" width="3.875" customWidth="1"/>
    <col min="2" max="2" width="18" customWidth="1"/>
    <col min="7" max="7" width="13.5" customWidth="1"/>
  </cols>
  <sheetData>
    <row r="1" spans="1:7" ht="14.25" customHeight="1" x14ac:dyDescent="0.2">
      <c r="A1" s="800" t="s">
        <v>383</v>
      </c>
      <c r="B1" s="801"/>
      <c r="C1" s="801"/>
      <c r="D1" s="801"/>
      <c r="E1" s="801"/>
      <c r="F1" s="801"/>
      <c r="G1" s="802"/>
    </row>
    <row r="2" spans="1:7" ht="14.25" customHeight="1" x14ac:dyDescent="0.2">
      <c r="A2" s="803"/>
      <c r="B2" s="804"/>
      <c r="C2" s="804"/>
      <c r="D2" s="804"/>
      <c r="E2" s="804"/>
      <c r="F2" s="804"/>
      <c r="G2" s="805"/>
    </row>
    <row r="3" spans="1:7" ht="6" customHeight="1" x14ac:dyDescent="0.2">
      <c r="A3" s="304"/>
      <c r="B3" s="268"/>
      <c r="C3" s="268"/>
      <c r="D3" s="268"/>
      <c r="E3" s="268"/>
      <c r="F3" s="268"/>
      <c r="G3" s="269"/>
    </row>
    <row r="4" spans="1:7" ht="14.25" customHeight="1" x14ac:dyDescent="0.2">
      <c r="A4" s="540"/>
      <c r="B4" s="541"/>
      <c r="C4" s="541"/>
      <c r="D4" s="541"/>
      <c r="E4" s="541"/>
      <c r="F4" s="541"/>
      <c r="G4" s="542"/>
    </row>
    <row r="5" spans="1:7" ht="14.25" customHeight="1" x14ac:dyDescent="0.2">
      <c r="A5" s="798" t="s">
        <v>389</v>
      </c>
      <c r="B5" s="799"/>
      <c r="C5" s="543"/>
      <c r="D5" s="543"/>
      <c r="E5" s="543"/>
      <c r="F5" s="543"/>
      <c r="G5" s="544"/>
    </row>
    <row r="6" spans="1:7" ht="14.25" customHeight="1" x14ac:dyDescent="0.25">
      <c r="A6" s="545"/>
      <c r="B6" s="546"/>
      <c r="C6" s="543"/>
      <c r="D6" s="543"/>
      <c r="E6" s="543"/>
      <c r="F6" s="543"/>
      <c r="G6" s="544"/>
    </row>
    <row r="7" spans="1:7" ht="25.5" customHeight="1" x14ac:dyDescent="0.2">
      <c r="A7" s="547" t="s">
        <v>377</v>
      </c>
      <c r="B7" s="796" t="s">
        <v>461</v>
      </c>
      <c r="C7" s="796"/>
      <c r="D7" s="796"/>
      <c r="E7" s="796"/>
      <c r="F7" s="796"/>
      <c r="G7" s="797"/>
    </row>
    <row r="8" spans="1:7" ht="25.5" customHeight="1" x14ac:dyDescent="0.2">
      <c r="A8" s="584" t="s">
        <v>432</v>
      </c>
      <c r="B8" s="796" t="s">
        <v>431</v>
      </c>
      <c r="C8" s="796"/>
      <c r="D8" s="796"/>
      <c r="E8" s="796"/>
      <c r="F8" s="796"/>
      <c r="G8" s="797"/>
    </row>
    <row r="9" spans="1:7" ht="14.25" customHeight="1" x14ac:dyDescent="0.2">
      <c r="A9" s="547"/>
      <c r="B9" s="608" t="s">
        <v>467</v>
      </c>
      <c r="C9" s="606"/>
      <c r="D9" s="606"/>
      <c r="E9" s="606"/>
      <c r="F9" s="606"/>
      <c r="G9" s="607"/>
    </row>
    <row r="10" spans="1:7" ht="15" customHeight="1" x14ac:dyDescent="0.2">
      <c r="A10" s="584" t="s">
        <v>397</v>
      </c>
      <c r="B10" s="548" t="s">
        <v>398</v>
      </c>
      <c r="C10" s="581"/>
      <c r="D10" s="581"/>
      <c r="E10" s="581"/>
      <c r="F10" s="581"/>
      <c r="G10" s="582"/>
    </row>
    <row r="11" spans="1:7" ht="15" customHeight="1" x14ac:dyDescent="0.2">
      <c r="A11" s="584" t="s">
        <v>397</v>
      </c>
      <c r="B11" s="808" t="s">
        <v>466</v>
      </c>
      <c r="C11" s="808"/>
      <c r="D11" s="808"/>
      <c r="E11" s="808"/>
      <c r="F11" s="808"/>
      <c r="G11" s="809"/>
    </row>
    <row r="12" spans="1:7" ht="15" customHeight="1" x14ac:dyDescent="0.2">
      <c r="A12" s="549"/>
      <c r="B12" s="550"/>
      <c r="C12" s="794"/>
      <c r="D12" s="794"/>
      <c r="E12" s="794"/>
      <c r="F12" s="794"/>
      <c r="G12" s="795"/>
    </row>
    <row r="13" spans="1:7" ht="14.25" customHeight="1" x14ac:dyDescent="0.2">
      <c r="A13" s="547" t="s">
        <v>31</v>
      </c>
      <c r="B13" s="792" t="s">
        <v>387</v>
      </c>
      <c r="C13" s="792"/>
      <c r="D13" s="792"/>
      <c r="E13" s="792"/>
      <c r="F13" s="792"/>
      <c r="G13" s="793"/>
    </row>
    <row r="14" spans="1:7" ht="18" customHeight="1" x14ac:dyDescent="0.2">
      <c r="A14" s="551"/>
      <c r="B14" s="577"/>
      <c r="C14" s="577"/>
      <c r="D14" s="577"/>
      <c r="E14" s="577"/>
      <c r="F14" s="577"/>
      <c r="G14" s="578"/>
    </row>
    <row r="15" spans="1:7" ht="14.25" customHeight="1" x14ac:dyDescent="0.2">
      <c r="A15" s="547" t="s">
        <v>378</v>
      </c>
      <c r="B15" s="796" t="s">
        <v>400</v>
      </c>
      <c r="C15" s="796"/>
      <c r="D15" s="796"/>
      <c r="E15" s="796"/>
      <c r="F15" s="796"/>
      <c r="G15" s="797"/>
    </row>
    <row r="16" spans="1:7" x14ac:dyDescent="0.2">
      <c r="A16" s="551"/>
      <c r="B16" s="577"/>
      <c r="C16" s="577"/>
      <c r="D16" s="577"/>
      <c r="E16" s="577"/>
      <c r="F16" s="577"/>
      <c r="G16" s="578"/>
    </row>
    <row r="17" spans="1:7" ht="39" customHeight="1" x14ac:dyDescent="0.2">
      <c r="A17" s="547" t="s">
        <v>379</v>
      </c>
      <c r="B17" s="792" t="s">
        <v>388</v>
      </c>
      <c r="C17" s="792"/>
      <c r="D17" s="792"/>
      <c r="E17" s="792"/>
      <c r="F17" s="792"/>
      <c r="G17" s="793"/>
    </row>
    <row r="18" spans="1:7" ht="15" customHeight="1" x14ac:dyDescent="0.2">
      <c r="A18" s="551"/>
      <c r="B18" s="577"/>
      <c r="C18" s="577"/>
      <c r="D18" s="577"/>
      <c r="E18" s="577"/>
      <c r="F18" s="577"/>
      <c r="G18" s="578"/>
    </row>
    <row r="19" spans="1:7" ht="110.25" customHeight="1" x14ac:dyDescent="0.2">
      <c r="A19" s="547" t="s">
        <v>380</v>
      </c>
      <c r="B19" s="792" t="s">
        <v>657</v>
      </c>
      <c r="C19" s="792"/>
      <c r="D19" s="792"/>
      <c r="E19" s="792"/>
      <c r="F19" s="792"/>
      <c r="G19" s="793"/>
    </row>
    <row r="20" spans="1:7" ht="15" customHeight="1" x14ac:dyDescent="0.2">
      <c r="A20" s="551"/>
      <c r="B20" s="806"/>
      <c r="C20" s="806"/>
      <c r="D20" s="806"/>
      <c r="E20" s="806"/>
      <c r="F20" s="806"/>
      <c r="G20" s="807"/>
    </row>
    <row r="21" spans="1:7" s="268" customFormat="1" ht="28.5" customHeight="1" x14ac:dyDescent="0.2">
      <c r="A21" s="547" t="s">
        <v>381</v>
      </c>
      <c r="B21" s="796" t="s">
        <v>386</v>
      </c>
      <c r="C21" s="796"/>
      <c r="D21" s="796"/>
      <c r="E21" s="796"/>
      <c r="F21" s="796"/>
      <c r="G21" s="797"/>
    </row>
    <row r="22" spans="1:7" ht="15" customHeight="1" x14ac:dyDescent="0.2">
      <c r="A22" s="551"/>
      <c r="B22" s="579"/>
      <c r="C22" s="579"/>
      <c r="D22" s="579"/>
      <c r="E22" s="579"/>
      <c r="F22" s="579"/>
      <c r="G22" s="580"/>
    </row>
    <row r="23" spans="1:7" ht="27.75" customHeight="1" x14ac:dyDescent="0.2">
      <c r="A23" s="547" t="s">
        <v>384</v>
      </c>
      <c r="B23" s="792" t="s">
        <v>382</v>
      </c>
      <c r="C23" s="792"/>
      <c r="D23" s="792"/>
      <c r="E23" s="792"/>
      <c r="F23" s="792"/>
      <c r="G23" s="793"/>
    </row>
    <row r="24" spans="1:7" ht="15" customHeight="1" x14ac:dyDescent="0.2">
      <c r="A24" s="552"/>
      <c r="B24" s="403"/>
      <c r="C24" s="403"/>
      <c r="D24" s="403"/>
      <c r="E24" s="403"/>
      <c r="F24" s="403"/>
      <c r="G24" s="553"/>
    </row>
    <row r="25" spans="1:7" x14ac:dyDescent="0.2">
      <c r="A25" s="547" t="s">
        <v>385</v>
      </c>
      <c r="B25" s="792" t="s">
        <v>399</v>
      </c>
      <c r="C25" s="792"/>
      <c r="D25" s="792"/>
      <c r="E25" s="792"/>
      <c r="F25" s="792"/>
      <c r="G25" s="793"/>
    </row>
    <row r="26" spans="1:7" x14ac:dyDescent="0.2">
      <c r="A26" s="552"/>
      <c r="B26" s="403"/>
      <c r="C26" s="403"/>
      <c r="D26" s="403"/>
      <c r="E26" s="403"/>
      <c r="F26" s="403"/>
      <c r="G26" s="553"/>
    </row>
    <row r="27" spans="1:7" x14ac:dyDescent="0.2">
      <c r="A27" s="552"/>
      <c r="B27" s="403"/>
      <c r="C27" s="403"/>
      <c r="D27" s="403"/>
      <c r="E27" s="403"/>
      <c r="F27" s="403"/>
      <c r="G27" s="553"/>
    </row>
    <row r="28" spans="1:7" x14ac:dyDescent="0.2">
      <c r="A28" s="552"/>
      <c r="B28" s="403"/>
      <c r="C28" s="403"/>
      <c r="D28" s="403"/>
      <c r="E28" s="403"/>
      <c r="F28" s="403"/>
      <c r="G28" s="553"/>
    </row>
    <row r="29" spans="1:7" x14ac:dyDescent="0.2">
      <c r="A29" s="304"/>
      <c r="B29" s="268"/>
      <c r="C29" s="268"/>
      <c r="D29" s="268"/>
      <c r="E29" s="268"/>
      <c r="F29" s="268"/>
      <c r="G29" s="269"/>
    </row>
    <row r="30" spans="1:7" x14ac:dyDescent="0.2">
      <c r="A30" s="304"/>
      <c r="B30" s="268"/>
      <c r="C30" s="268"/>
      <c r="D30" s="268"/>
      <c r="E30" s="268"/>
      <c r="F30" s="268"/>
      <c r="G30" s="269"/>
    </row>
    <row r="31" spans="1:7" x14ac:dyDescent="0.2">
      <c r="A31" s="304"/>
      <c r="B31" s="268"/>
      <c r="C31" s="268"/>
      <c r="D31" s="268"/>
      <c r="E31" s="268"/>
      <c r="F31" s="268"/>
      <c r="G31" s="269"/>
    </row>
    <row r="32" spans="1:7" x14ac:dyDescent="0.2">
      <c r="A32" s="304"/>
      <c r="B32" s="268"/>
      <c r="C32" s="268"/>
      <c r="D32" s="268"/>
      <c r="E32" s="268"/>
      <c r="F32" s="268"/>
      <c r="G32" s="269"/>
    </row>
    <row r="33" spans="1:7" x14ac:dyDescent="0.2">
      <c r="A33" s="304"/>
      <c r="B33" s="268"/>
      <c r="C33" s="268"/>
      <c r="D33" s="268"/>
      <c r="E33" s="268"/>
      <c r="F33" s="268"/>
      <c r="G33" s="269"/>
    </row>
    <row r="34" spans="1:7" x14ac:dyDescent="0.2">
      <c r="A34" s="304"/>
      <c r="B34" s="268"/>
      <c r="C34" s="268"/>
      <c r="D34" s="268"/>
      <c r="E34" s="268"/>
      <c r="F34" s="268"/>
      <c r="G34" s="269"/>
    </row>
    <row r="35" spans="1:7" x14ac:dyDescent="0.2">
      <c r="A35" s="304"/>
      <c r="B35" s="268"/>
      <c r="C35" s="268"/>
      <c r="D35" s="268"/>
      <c r="E35" s="268"/>
      <c r="F35" s="268"/>
      <c r="G35" s="269"/>
    </row>
    <row r="36" spans="1:7" x14ac:dyDescent="0.2">
      <c r="A36" s="304"/>
      <c r="B36" s="268"/>
      <c r="C36" s="268"/>
      <c r="D36" s="268"/>
      <c r="E36" s="268"/>
      <c r="F36" s="268"/>
      <c r="G36" s="269"/>
    </row>
    <row r="37" spans="1:7" x14ac:dyDescent="0.2">
      <c r="A37" s="304"/>
      <c r="B37" s="268"/>
      <c r="C37" s="268"/>
      <c r="D37" s="268"/>
      <c r="E37" s="268"/>
      <c r="F37" s="268"/>
      <c r="G37" s="269"/>
    </row>
    <row r="38" spans="1:7" x14ac:dyDescent="0.2">
      <c r="A38" s="314"/>
      <c r="B38" s="296"/>
      <c r="C38" s="296"/>
      <c r="D38" s="296"/>
      <c r="E38" s="296"/>
      <c r="F38" s="296"/>
      <c r="G38" s="554"/>
    </row>
    <row r="39" spans="1:7" x14ac:dyDescent="0.2">
      <c r="A39" s="268"/>
      <c r="B39" s="268"/>
      <c r="C39" s="268"/>
      <c r="D39" s="268"/>
      <c r="E39" s="268"/>
      <c r="F39" s="268"/>
      <c r="G39" s="268"/>
    </row>
    <row r="40" spans="1:7" x14ac:dyDescent="0.2">
      <c r="A40" s="268"/>
      <c r="B40" s="268"/>
      <c r="C40" s="268"/>
      <c r="D40" s="268"/>
      <c r="E40" s="268"/>
      <c r="F40" s="268"/>
      <c r="G40" s="268"/>
    </row>
    <row r="41" spans="1:7" x14ac:dyDescent="0.2">
      <c r="A41" s="268"/>
      <c r="B41" s="268"/>
      <c r="C41" s="268"/>
      <c r="D41" s="268"/>
      <c r="E41" s="268"/>
      <c r="F41" s="268"/>
      <c r="G41" s="268"/>
    </row>
    <row r="42" spans="1:7" x14ac:dyDescent="0.2">
      <c r="A42" s="268"/>
      <c r="B42" s="268"/>
      <c r="C42" s="268"/>
      <c r="D42" s="268"/>
      <c r="E42" s="268"/>
      <c r="F42" s="268"/>
      <c r="G42" s="268"/>
    </row>
    <row r="43" spans="1:7" x14ac:dyDescent="0.2">
      <c r="A43" s="268"/>
      <c r="B43" s="268"/>
      <c r="C43" s="268"/>
      <c r="D43" s="268"/>
      <c r="E43" s="268"/>
      <c r="F43" s="268"/>
      <c r="G43" s="268"/>
    </row>
    <row r="44" spans="1:7" x14ac:dyDescent="0.2">
      <c r="A44" s="268"/>
      <c r="B44" s="268"/>
      <c r="C44" s="268"/>
      <c r="D44" s="268"/>
      <c r="E44" s="268"/>
      <c r="F44" s="268"/>
      <c r="G44" s="268"/>
    </row>
  </sheetData>
  <sheetProtection algorithmName="SHA-512" hashValue="pu3XHGJnKLpO86sWJyUCFhEk8ZsZHgOeMNOq/JvGmwsvgKKn3uTGzx7MQt9GK33L6cvcn5kajD6f+AKkq4qARA==" saltValue="xwrZFRPSlg40O9xh52H2jA==" spinCount="100000" sheet="1" objects="1" scenarios="1"/>
  <mergeCells count="14">
    <mergeCell ref="A5:B5"/>
    <mergeCell ref="A1:G2"/>
    <mergeCell ref="B15:G15"/>
    <mergeCell ref="B20:G20"/>
    <mergeCell ref="B7:G7"/>
    <mergeCell ref="B11:G11"/>
    <mergeCell ref="B8:G8"/>
    <mergeCell ref="B23:G23"/>
    <mergeCell ref="B25:G25"/>
    <mergeCell ref="C12:G12"/>
    <mergeCell ref="B13:G13"/>
    <mergeCell ref="B17:G17"/>
    <mergeCell ref="B19:G19"/>
    <mergeCell ref="B21:G21"/>
  </mergeCells>
  <pageMargins left="0.70866141732283472" right="0.70866141732283472" top="0.78740157480314965" bottom="0.78740157480314965" header="0.31496062992125984" footer="0.31496062992125984"/>
  <pageSetup paperSize="9" orientation="portrait"/>
  <headerFooter>
    <oddFooter xml:space="preserve">&amp;L&amp;8Version: 22.11.2024&amp;C&amp;8Verhandlungsunterlagen SGB XI (B3 vereinfacht)&amp;1#&amp;"Calibri,Standard"&amp;10&amp;K000000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9273-B4D1-4234-8B94-CF9F2522C895}">
  <dimension ref="A2:C8"/>
  <sheetViews>
    <sheetView workbookViewId="0">
      <selection activeCell="B14" sqref="B14"/>
    </sheetView>
  </sheetViews>
  <sheetFormatPr baseColWidth="10" defaultRowHeight="14.25" x14ac:dyDescent="0.2"/>
  <cols>
    <col min="1" max="1" width="22.375" customWidth="1"/>
    <col min="2" max="2" width="13.125" customWidth="1"/>
  </cols>
  <sheetData>
    <row r="2" spans="1:3" ht="15" x14ac:dyDescent="0.25">
      <c r="A2" s="604" t="s">
        <v>412</v>
      </c>
      <c r="B2" s="604" t="s">
        <v>594</v>
      </c>
      <c r="C2" s="756" t="s">
        <v>593</v>
      </c>
    </row>
    <row r="3" spans="1:3" x14ac:dyDescent="0.2">
      <c r="A3" s="602" t="s">
        <v>413</v>
      </c>
      <c r="B3" s="605">
        <v>0.1</v>
      </c>
      <c r="C3" s="605">
        <v>0.1</v>
      </c>
    </row>
    <row r="4" spans="1:3" x14ac:dyDescent="0.2">
      <c r="A4" s="602" t="s">
        <v>95</v>
      </c>
      <c r="B4" s="605">
        <v>7.4999999999999997E-2</v>
      </c>
      <c r="C4" s="605">
        <v>7.4999999999999997E-2</v>
      </c>
    </row>
    <row r="5" spans="1:3" x14ac:dyDescent="0.2">
      <c r="A5" s="602" t="s">
        <v>414</v>
      </c>
      <c r="B5" s="605">
        <v>9.0999999999999998E-2</v>
      </c>
      <c r="C5" s="605">
        <v>9.0999999999999998E-2</v>
      </c>
    </row>
    <row r="6" spans="1:3" x14ac:dyDescent="0.2">
      <c r="A6" s="602" t="s">
        <v>472</v>
      </c>
      <c r="B6" s="605">
        <v>0.05</v>
      </c>
      <c r="C6" s="605">
        <v>0.05</v>
      </c>
    </row>
    <row r="7" spans="1:3" x14ac:dyDescent="0.2">
      <c r="A7" s="602" t="s">
        <v>590</v>
      </c>
      <c r="B7" s="978">
        <v>17.899999999999999</v>
      </c>
      <c r="C7" s="603">
        <v>18.5</v>
      </c>
    </row>
    <row r="8" spans="1:3" x14ac:dyDescent="0.2">
      <c r="A8" s="755" t="s">
        <v>591</v>
      </c>
      <c r="B8" s="979"/>
      <c r="C8" s="603">
        <v>21</v>
      </c>
    </row>
  </sheetData>
  <sheetProtection algorithmName="SHA-512" hashValue="9eW+tJoSLyywQoebZvqgrJgi0RRFsGhswXhC57YgYWjCMn3ut262vdvjeiVB/u6vQhLEDjQ7qxqrkoVEr0AFPg==" saltValue="RG+uvtgvIabO8EvQEsa/Nw==" spinCount="100000" sheet="1" objects="1" scenarios="1"/>
  <mergeCells count="1">
    <mergeCell ref="B7:B8"/>
  </mergeCells>
  <pageMargins left="0.70866141732283472" right="0.70866141732283472" top="0.78740157480314965" bottom="0.78740157480314965" header="0.31496062992125984" footer="0.31496062992125984"/>
  <pageSetup paperSize="9" orientation="portrait"/>
  <headerFooter>
    <oddFooter xml:space="preserve">&amp;C
&amp;1#&amp;"Calibri,Standard"&amp;10&amp;K000000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2">
    <pageSetUpPr fitToPage="1"/>
  </sheetPr>
  <dimension ref="A1:S52"/>
  <sheetViews>
    <sheetView workbookViewId="0">
      <pane ySplit="4" topLeftCell="A17" activePane="bottomLeft" state="frozen"/>
      <selection activeCell="K49" sqref="K49"/>
      <selection pane="bottomLeft" activeCell="E7" sqref="E7"/>
    </sheetView>
  </sheetViews>
  <sheetFormatPr baseColWidth="10" defaultColWidth="10" defaultRowHeight="14.25" x14ac:dyDescent="0.2"/>
  <cols>
    <col min="1" max="3" width="10" style="300"/>
    <col min="4" max="4" width="7.625" style="300" customWidth="1"/>
    <col min="5" max="5" width="2.875" style="300" customWidth="1"/>
    <col min="6" max="6" width="2" style="300" customWidth="1"/>
    <col min="7" max="7" width="10.625" style="300" customWidth="1"/>
    <col min="8" max="8" width="10" style="300"/>
    <col min="9" max="9" width="11.5" style="300" customWidth="1"/>
    <col min="10" max="11" width="0" style="300" hidden="1" customWidth="1"/>
    <col min="12" max="16384" width="10" style="300"/>
  </cols>
  <sheetData>
    <row r="1" spans="1:19" ht="15" customHeight="1" x14ac:dyDescent="0.2">
      <c r="A1" s="980" t="s">
        <v>168</v>
      </c>
      <c r="B1" s="981"/>
      <c r="C1" s="981"/>
      <c r="D1" s="981"/>
      <c r="E1" s="981"/>
      <c r="F1" s="981"/>
      <c r="G1" s="981"/>
      <c r="H1" s="981"/>
      <c r="I1" s="982"/>
      <c r="J1" s="299" t="s">
        <v>253</v>
      </c>
    </row>
    <row r="2" spans="1:19" x14ac:dyDescent="0.2">
      <c r="A2" s="983"/>
      <c r="B2" s="984"/>
      <c r="C2" s="984"/>
      <c r="D2" s="984"/>
      <c r="E2" s="984"/>
      <c r="F2" s="984"/>
      <c r="G2" s="984"/>
      <c r="H2" s="984"/>
      <c r="I2" s="985"/>
      <c r="J2" s="297" t="s">
        <v>261</v>
      </c>
    </row>
    <row r="3" spans="1:19" x14ac:dyDescent="0.2">
      <c r="A3" s="983"/>
      <c r="B3" s="984"/>
      <c r="C3" s="984"/>
      <c r="D3" s="984"/>
      <c r="E3" s="984"/>
      <c r="F3" s="984"/>
      <c r="G3" s="984"/>
      <c r="H3" s="984"/>
      <c r="I3" s="985"/>
      <c r="J3" s="301"/>
    </row>
    <row r="4" spans="1:19" x14ac:dyDescent="0.2">
      <c r="A4" s="986"/>
      <c r="B4" s="987"/>
      <c r="C4" s="987"/>
      <c r="D4" s="987"/>
      <c r="E4" s="987"/>
      <c r="F4" s="987"/>
      <c r="G4" s="987"/>
      <c r="H4" s="987"/>
      <c r="I4" s="988"/>
    </row>
    <row r="5" spans="1:19" x14ac:dyDescent="0.2">
      <c r="A5" s="302" t="s">
        <v>169</v>
      </c>
      <c r="I5" s="303"/>
      <c r="J5" s="57" t="s">
        <v>254</v>
      </c>
    </row>
    <row r="6" spans="1:19" x14ac:dyDescent="0.2">
      <c r="A6" s="304" t="s">
        <v>257</v>
      </c>
      <c r="I6" s="303"/>
      <c r="J6" s="305" t="s">
        <v>255</v>
      </c>
      <c r="K6" s="306"/>
      <c r="L6" s="306"/>
      <c r="M6" s="306"/>
      <c r="N6" s="306"/>
      <c r="O6" s="306"/>
      <c r="P6" s="306"/>
      <c r="Q6" s="306"/>
      <c r="R6" s="306"/>
      <c r="S6" s="306"/>
    </row>
    <row r="7" spans="1:19" x14ac:dyDescent="0.2">
      <c r="A7" s="304" t="s">
        <v>255</v>
      </c>
      <c r="E7" s="93"/>
      <c r="I7" s="303"/>
      <c r="J7" s="57" t="s">
        <v>256</v>
      </c>
    </row>
    <row r="8" spans="1:19" x14ac:dyDescent="0.2">
      <c r="A8" s="307" t="s">
        <v>256</v>
      </c>
      <c r="I8" s="303"/>
      <c r="J8" s="302"/>
    </row>
    <row r="9" spans="1:19" x14ac:dyDescent="0.2">
      <c r="A9" s="302" t="s">
        <v>170</v>
      </c>
      <c r="I9" s="303"/>
      <c r="J9" s="302"/>
    </row>
    <row r="10" spans="1:19" x14ac:dyDescent="0.2">
      <c r="A10" s="302" t="s">
        <v>171</v>
      </c>
      <c r="I10" s="303"/>
      <c r="J10" s="302"/>
    </row>
    <row r="11" spans="1:19" x14ac:dyDescent="0.2">
      <c r="A11" s="302"/>
      <c r="I11" s="303"/>
      <c r="J11" s="302"/>
    </row>
    <row r="12" spans="1:19" x14ac:dyDescent="0.2">
      <c r="A12" s="302" t="s">
        <v>172</v>
      </c>
      <c r="E12" s="93"/>
      <c r="I12" s="303"/>
    </row>
    <row r="13" spans="1:19" x14ac:dyDescent="0.2">
      <c r="A13" s="302" t="s">
        <v>173</v>
      </c>
      <c r="I13" s="303"/>
    </row>
    <row r="14" spans="1:19" x14ac:dyDescent="0.2">
      <c r="A14" s="302" t="s">
        <v>174</v>
      </c>
      <c r="I14" s="303"/>
    </row>
    <row r="15" spans="1:19" x14ac:dyDescent="0.2">
      <c r="A15" s="302"/>
      <c r="I15" s="303"/>
    </row>
    <row r="16" spans="1:19" x14ac:dyDescent="0.2">
      <c r="A16" s="302" t="s">
        <v>175</v>
      </c>
      <c r="E16" s="93"/>
      <c r="I16" s="303"/>
    </row>
    <row r="17" spans="1:10" x14ac:dyDescent="0.2">
      <c r="A17" s="302" t="s">
        <v>176</v>
      </c>
      <c r="I17" s="303"/>
    </row>
    <row r="18" spans="1:10" x14ac:dyDescent="0.2">
      <c r="A18" s="302" t="s">
        <v>177</v>
      </c>
      <c r="I18" s="303"/>
    </row>
    <row r="19" spans="1:10" x14ac:dyDescent="0.2">
      <c r="A19" s="302" t="s">
        <v>178</v>
      </c>
      <c r="I19" s="303"/>
    </row>
    <row r="20" spans="1:10" x14ac:dyDescent="0.2">
      <c r="A20" s="302"/>
      <c r="I20" s="303"/>
    </row>
    <row r="21" spans="1:10" x14ac:dyDescent="0.2">
      <c r="A21" s="302" t="s">
        <v>179</v>
      </c>
      <c r="E21" s="93"/>
      <c r="G21" s="164" t="s">
        <v>260</v>
      </c>
      <c r="I21" s="303"/>
      <c r="J21" s="165" t="s">
        <v>260</v>
      </c>
    </row>
    <row r="22" spans="1:10" x14ac:dyDescent="0.2">
      <c r="A22" s="302" t="s">
        <v>258</v>
      </c>
      <c r="I22" s="303"/>
      <c r="J22" s="308" t="s">
        <v>258</v>
      </c>
    </row>
    <row r="23" spans="1:10" x14ac:dyDescent="0.2">
      <c r="A23" s="304" t="s">
        <v>259</v>
      </c>
      <c r="I23" s="303"/>
      <c r="J23" s="308" t="s">
        <v>259</v>
      </c>
    </row>
    <row r="24" spans="1:10" x14ac:dyDescent="0.2">
      <c r="A24" s="302"/>
      <c r="I24" s="303"/>
    </row>
    <row r="25" spans="1:10" x14ac:dyDescent="0.2">
      <c r="A25" s="309" t="s">
        <v>180</v>
      </c>
      <c r="I25" s="303"/>
    </row>
    <row r="26" spans="1:10" x14ac:dyDescent="0.2">
      <c r="A26" s="302"/>
      <c r="I26" s="303"/>
    </row>
    <row r="27" spans="1:10" x14ac:dyDescent="0.2">
      <c r="A27" s="302" t="s">
        <v>181</v>
      </c>
      <c r="E27" s="93"/>
      <c r="I27" s="303"/>
    </row>
    <row r="28" spans="1:10" x14ac:dyDescent="0.2">
      <c r="A28" s="302" t="s">
        <v>182</v>
      </c>
      <c r="I28" s="303"/>
    </row>
    <row r="29" spans="1:10" x14ac:dyDescent="0.2">
      <c r="A29" s="302" t="s">
        <v>183</v>
      </c>
      <c r="I29" s="303"/>
    </row>
    <row r="30" spans="1:10" x14ac:dyDescent="0.2">
      <c r="A30" s="302" t="s">
        <v>184</v>
      </c>
      <c r="I30" s="303"/>
    </row>
    <row r="31" spans="1:10" x14ac:dyDescent="0.2">
      <c r="A31" s="302"/>
      <c r="I31" s="303"/>
    </row>
    <row r="32" spans="1:10" ht="18" x14ac:dyDescent="0.25">
      <c r="A32" s="309" t="s">
        <v>185</v>
      </c>
      <c r="D32" s="310"/>
      <c r="G32" s="311" t="s">
        <v>186</v>
      </c>
      <c r="H32" s="312"/>
      <c r="I32" s="313"/>
      <c r="J32" s="301"/>
    </row>
    <row r="33" spans="1:9" x14ac:dyDescent="0.2">
      <c r="A33" s="302"/>
      <c r="G33" s="302"/>
      <c r="I33" s="303"/>
    </row>
    <row r="34" spans="1:9" x14ac:dyDescent="0.2">
      <c r="A34" s="302" t="s">
        <v>187</v>
      </c>
      <c r="E34" s="93"/>
      <c r="G34" s="302" t="s">
        <v>189</v>
      </c>
      <c r="I34" s="303"/>
    </row>
    <row r="35" spans="1:9" x14ac:dyDescent="0.2">
      <c r="A35" s="302" t="s">
        <v>188</v>
      </c>
      <c r="G35" s="304" t="s">
        <v>197</v>
      </c>
      <c r="I35" s="303"/>
    </row>
    <row r="36" spans="1:9" x14ac:dyDescent="0.2">
      <c r="A36" s="302" t="s">
        <v>190</v>
      </c>
      <c r="G36" s="302" t="s">
        <v>191</v>
      </c>
      <c r="I36" s="303"/>
    </row>
    <row r="37" spans="1:9" x14ac:dyDescent="0.2">
      <c r="A37" s="302"/>
      <c r="G37" s="302" t="s">
        <v>192</v>
      </c>
      <c r="I37" s="303"/>
    </row>
    <row r="38" spans="1:9" x14ac:dyDescent="0.2">
      <c r="A38" s="302"/>
      <c r="G38" s="304" t="s">
        <v>198</v>
      </c>
      <c r="I38" s="303"/>
    </row>
    <row r="39" spans="1:9" x14ac:dyDescent="0.2">
      <c r="A39" s="302"/>
      <c r="G39" s="314" t="s">
        <v>199</v>
      </c>
      <c r="H39" s="315"/>
      <c r="I39" s="316"/>
    </row>
    <row r="40" spans="1:9" x14ac:dyDescent="0.2">
      <c r="A40" s="302"/>
      <c r="I40" s="303"/>
    </row>
    <row r="41" spans="1:9" x14ac:dyDescent="0.2">
      <c r="A41" s="302"/>
      <c r="G41" s="299"/>
      <c r="H41" s="299"/>
      <c r="I41" s="317"/>
    </row>
    <row r="42" spans="1:9" x14ac:dyDescent="0.2">
      <c r="A42" s="989" t="s">
        <v>193</v>
      </c>
      <c r="B42" s="891"/>
      <c r="C42" s="891"/>
      <c r="E42" s="98"/>
      <c r="I42" s="303"/>
    </row>
    <row r="43" spans="1:9" x14ac:dyDescent="0.2">
      <c r="A43" s="302" t="s">
        <v>194</v>
      </c>
      <c r="I43" s="303"/>
    </row>
    <row r="44" spans="1:9" x14ac:dyDescent="0.2">
      <c r="A44" s="302" t="s">
        <v>195</v>
      </c>
      <c r="I44" s="303"/>
    </row>
    <row r="45" spans="1:9" x14ac:dyDescent="0.2">
      <c r="A45" s="302" t="s">
        <v>196</v>
      </c>
      <c r="I45" s="303"/>
    </row>
    <row r="46" spans="1:9" x14ac:dyDescent="0.2">
      <c r="A46" s="302"/>
      <c r="D46" s="94"/>
      <c r="E46" s="94"/>
      <c r="F46" s="94"/>
      <c r="G46" s="94"/>
      <c r="I46" s="303"/>
    </row>
    <row r="47" spans="1:9" ht="15" x14ac:dyDescent="0.25">
      <c r="A47" s="318"/>
      <c r="D47" s="94"/>
      <c r="E47" s="94"/>
      <c r="F47" s="94"/>
      <c r="G47" s="94"/>
      <c r="I47" s="303"/>
    </row>
    <row r="48" spans="1:9" ht="23.25" hidden="1" customHeight="1" x14ac:dyDescent="0.75">
      <c r="A48" s="302"/>
      <c r="D48" s="94"/>
      <c r="E48" s="94"/>
      <c r="F48" s="94"/>
      <c r="G48" s="94"/>
      <c r="I48" s="319"/>
    </row>
    <row r="49" spans="1:9" ht="15" customHeight="1" x14ac:dyDescent="0.2">
      <c r="A49" s="309"/>
      <c r="B49" s="299"/>
      <c r="C49" s="299"/>
      <c r="D49" s="95"/>
      <c r="E49" s="96"/>
      <c r="F49" s="94"/>
      <c r="G49" s="97"/>
      <c r="I49" s="303"/>
    </row>
    <row r="50" spans="1:9" ht="15" customHeight="1" x14ac:dyDescent="0.2">
      <c r="A50" s="302"/>
      <c r="D50" s="94"/>
      <c r="E50" s="94"/>
      <c r="F50" s="94"/>
      <c r="G50" s="94"/>
      <c r="I50" s="303"/>
    </row>
    <row r="51" spans="1:9" ht="15" customHeight="1" x14ac:dyDescent="0.2">
      <c r="A51" s="302"/>
      <c r="I51" s="303"/>
    </row>
    <row r="52" spans="1:9" x14ac:dyDescent="0.2">
      <c r="A52" s="320"/>
      <c r="B52" s="315"/>
      <c r="C52" s="315"/>
      <c r="D52" s="315"/>
      <c r="E52" s="315"/>
      <c r="F52" s="315"/>
      <c r="G52" s="315"/>
      <c r="H52" s="315"/>
      <c r="I52" s="316"/>
    </row>
  </sheetData>
  <sheetProtection algorithmName="SHA-512" hashValue="zDo/uM9y17sQ8qZ9TxNOyg46UVUORv31yT0/piSBdaCLNdg9bRxlxw8Zt7VBWLuozHr1U1aEi9cMuYtECH9E2w==" saltValue="IkM0p07PQx5QSzD3/gmZgw==" spinCount="100000" sheet="1" selectLockedCells="1"/>
  <mergeCells count="2">
    <mergeCell ref="A1:I4"/>
    <mergeCell ref="A42:C42"/>
  </mergeCells>
  <hyperlinks>
    <hyperlink ref="J21" r:id="rId1" xr:uid="{00000000-0004-0000-0700-000000000000}"/>
    <hyperlink ref="G21" r:id="rId2" xr:uid="{00000000-0004-0000-0700-000001000000}"/>
  </hyperlinks>
  <pageMargins left="0.70866141732283472" right="0.70866141732283472" top="0.78740157480314965" bottom="0.78740157480314965" header="0.31496062992125984" footer="0.31496062992125984"/>
  <pageSetup paperSize="9" orientation="portrait"/>
  <headerFooter>
    <oddHeader>&amp;C&amp;9&amp;A</oddHeader>
    <oddFooter>&amp;L&amp;8Version: 13.11.2019&amp;C&amp;8Verhandlungsunterlagen SGB XI (vereinfacht)_x000D_&amp;1#&amp;"Calibri"&amp;10&amp;K000000 öffentlich</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rgb="FFFF0000"/>
    <pageSetUpPr fitToPage="1"/>
  </sheetPr>
  <dimension ref="A1:O80"/>
  <sheetViews>
    <sheetView showGridLines="0" zoomScaleNormal="100" workbookViewId="0">
      <selection activeCell="K63" sqref="K63"/>
    </sheetView>
  </sheetViews>
  <sheetFormatPr baseColWidth="10" defaultRowHeight="14.25" x14ac:dyDescent="0.2"/>
  <cols>
    <col min="1" max="1" width="4.625" style="3" customWidth="1"/>
    <col min="2" max="2" width="2.375" style="3" customWidth="1"/>
    <col min="3" max="3" width="14.25" style="3" customWidth="1"/>
    <col min="4" max="4" width="10.625" style="3" customWidth="1"/>
    <col min="5" max="7" width="3.125" style="3" customWidth="1"/>
    <col min="8" max="8" width="11" style="3"/>
    <col min="9" max="10" width="2.375" style="3" customWidth="1"/>
    <col min="11" max="11" width="12.625" style="3" customWidth="1"/>
    <col min="12" max="13" width="7.625" style="3" customWidth="1"/>
    <col min="14" max="14" width="5.125" style="3" customWidth="1"/>
    <col min="15" max="21" width="11" customWidth="1"/>
  </cols>
  <sheetData>
    <row r="1" spans="1:14" ht="39.75" customHeight="1" x14ac:dyDescent="0.25">
      <c r="A1" s="826" t="s">
        <v>663</v>
      </c>
      <c r="B1" s="827"/>
      <c r="C1" s="827"/>
      <c r="D1" s="827"/>
      <c r="E1" s="827"/>
      <c r="F1" s="827"/>
      <c r="G1" s="827"/>
      <c r="H1" s="827"/>
      <c r="I1" s="827"/>
      <c r="J1" s="827"/>
      <c r="K1" s="827"/>
      <c r="L1" s="827"/>
      <c r="M1" s="827"/>
      <c r="N1" s="642"/>
    </row>
    <row r="2" spans="1:14" ht="15" customHeight="1" x14ac:dyDescent="0.25">
      <c r="A2" s="829" t="s">
        <v>0</v>
      </c>
      <c r="B2" s="830"/>
      <c r="C2" s="830"/>
      <c r="D2" s="830"/>
      <c r="E2" s="830"/>
      <c r="F2" s="830"/>
      <c r="G2" s="830"/>
      <c r="H2" s="830"/>
      <c r="I2" s="830"/>
      <c r="J2" s="830"/>
      <c r="K2" s="830"/>
      <c r="L2" s="830"/>
      <c r="M2" s="830"/>
      <c r="N2" s="831"/>
    </row>
    <row r="3" spans="1:14" ht="15" x14ac:dyDescent="0.25">
      <c r="A3" s="829" t="str">
        <f>IF(D12&gt;0,CONCATENATE(D12,", ",D16),"")</f>
        <v/>
      </c>
      <c r="B3" s="830"/>
      <c r="C3" s="830"/>
      <c r="D3" s="830"/>
      <c r="E3" s="830"/>
      <c r="F3" s="830"/>
      <c r="G3" s="830"/>
      <c r="H3" s="830"/>
      <c r="I3" s="830"/>
      <c r="J3" s="830"/>
      <c r="K3" s="830"/>
      <c r="L3" s="830"/>
      <c r="M3" s="830"/>
      <c r="N3" s="831"/>
    </row>
    <row r="4" spans="1:14" x14ac:dyDescent="0.2">
      <c r="A4" s="175" t="str">
        <f>IF(L6&gt;0,CONCATENATE("IK"," ",L6),"")</f>
        <v/>
      </c>
      <c r="B4" s="166"/>
      <c r="C4" s="166"/>
      <c r="D4" s="166"/>
      <c r="E4" s="166"/>
      <c r="F4" s="166"/>
      <c r="G4" s="166"/>
      <c r="H4" s="166"/>
      <c r="I4" s="166"/>
      <c r="J4" s="166"/>
      <c r="K4" s="404" t="s">
        <v>391</v>
      </c>
      <c r="L4" s="839"/>
      <c r="M4" s="840"/>
      <c r="N4" s="167"/>
    </row>
    <row r="5" spans="1:14" ht="9.75" customHeight="1" thickBot="1" x14ac:dyDescent="0.25">
      <c r="A5" s="837">
        <v>45618</v>
      </c>
      <c r="B5" s="838"/>
      <c r="C5" s="73"/>
      <c r="N5" s="4"/>
    </row>
    <row r="6" spans="1:14" ht="15" thickBot="1" x14ac:dyDescent="0.25">
      <c r="A6" s="2"/>
      <c r="B6" s="5" t="s">
        <v>1</v>
      </c>
      <c r="D6" s="832"/>
      <c r="E6" s="833"/>
      <c r="F6" s="833"/>
      <c r="G6" s="834"/>
      <c r="I6" s="5"/>
      <c r="J6" s="5"/>
      <c r="K6" s="6" t="s">
        <v>2</v>
      </c>
      <c r="L6" s="835"/>
      <c r="M6" s="836"/>
      <c r="N6" s="4"/>
    </row>
    <row r="7" spans="1:14" ht="6.95" customHeight="1" x14ac:dyDescent="0.2">
      <c r="A7" s="2"/>
      <c r="B7" s="7"/>
      <c r="C7" s="8"/>
      <c r="D7" s="586" t="str">
        <f>IF(D6&gt;0,IF(D6="teilstationäre Pflege","tst",IF(D6="Kurzzeitpflege","kzp","vst")),"")</f>
        <v/>
      </c>
      <c r="E7" s="99" t="b">
        <f>IF(D6&gt;0,IF(D6="Wohnpflegeheim","WPH",""))</f>
        <v>0</v>
      </c>
      <c r="F7" s="99" t="str">
        <f>IF(D6="4. Generation","4.","")</f>
        <v/>
      </c>
      <c r="N7" s="4"/>
    </row>
    <row r="8" spans="1:14" ht="12.75" customHeight="1" x14ac:dyDescent="0.2">
      <c r="A8" s="2"/>
      <c r="B8" s="7"/>
      <c r="C8" s="8"/>
      <c r="D8" s="600" t="s">
        <v>409</v>
      </c>
      <c r="E8" s="599"/>
      <c r="F8" s="99"/>
      <c r="H8" s="828"/>
      <c r="I8" s="828"/>
      <c r="J8" s="828"/>
      <c r="K8" s="828"/>
      <c r="N8" s="4"/>
    </row>
    <row r="9" spans="1:14" ht="12.75" customHeight="1" x14ac:dyDescent="0.2">
      <c r="A9" s="2"/>
      <c r="B9" s="7"/>
      <c r="C9" s="8"/>
      <c r="D9" s="599"/>
      <c r="E9" s="599"/>
      <c r="F9" s="99"/>
      <c r="J9" s="587" t="str">
        <f>IF(AND(D7="kzp",H8=""),"Bitte Form der Kurzzeitpflege angeben.","")</f>
        <v/>
      </c>
      <c r="N9" s="4"/>
    </row>
    <row r="10" spans="1:14" x14ac:dyDescent="0.2">
      <c r="A10" s="2"/>
      <c r="B10" s="39" t="s">
        <v>3</v>
      </c>
      <c r="C10" s="38"/>
      <c r="D10" s="38"/>
      <c r="E10" s="38"/>
      <c r="F10" s="38"/>
      <c r="G10" s="38"/>
      <c r="H10" s="38"/>
      <c r="I10" s="38"/>
      <c r="J10" s="38"/>
      <c r="K10" s="38"/>
      <c r="L10" s="38"/>
      <c r="M10" s="38"/>
      <c r="N10" s="4"/>
    </row>
    <row r="11" spans="1:14" ht="12.75" customHeight="1" x14ac:dyDescent="0.2">
      <c r="A11" s="2"/>
      <c r="D11" s="587" t="str">
        <f>IF(AND(D6=0,D12&lt;&gt;0),"bitte wählen Sie noch die Art der Einrichtung aus","")</f>
        <v/>
      </c>
      <c r="N11" s="4"/>
    </row>
    <row r="12" spans="1:14" x14ac:dyDescent="0.2">
      <c r="A12" s="2"/>
      <c r="B12" s="10" t="s">
        <v>135</v>
      </c>
      <c r="D12" s="815"/>
      <c r="E12" s="812"/>
      <c r="F12" s="812"/>
      <c r="G12" s="812"/>
      <c r="H12" s="812"/>
      <c r="I12" s="812"/>
      <c r="J12" s="812"/>
      <c r="K12" s="812"/>
      <c r="L12" s="812"/>
      <c r="M12" s="812"/>
      <c r="N12" s="11"/>
    </row>
    <row r="13" spans="1:14" x14ac:dyDescent="0.2">
      <c r="A13" s="2"/>
      <c r="D13" s="12" t="s">
        <v>4</v>
      </c>
      <c r="E13" s="12"/>
      <c r="J13" s="12"/>
      <c r="K13" s="12"/>
      <c r="L13" s="12"/>
      <c r="M13" s="12"/>
      <c r="N13" s="13"/>
    </row>
    <row r="14" spans="1:14" x14ac:dyDescent="0.2">
      <c r="A14" s="2"/>
      <c r="D14" s="815"/>
      <c r="E14" s="812"/>
      <c r="F14" s="812"/>
      <c r="G14" s="812"/>
      <c r="H14" s="812"/>
      <c r="I14" s="812"/>
      <c r="J14" s="812"/>
      <c r="K14" s="812"/>
      <c r="L14" s="812"/>
      <c r="M14" s="812"/>
      <c r="N14" s="4"/>
    </row>
    <row r="15" spans="1:14" x14ac:dyDescent="0.2">
      <c r="A15" s="2"/>
      <c r="D15" s="12" t="s">
        <v>5</v>
      </c>
      <c r="E15" s="12"/>
      <c r="N15" s="4"/>
    </row>
    <row r="16" spans="1:14" x14ac:dyDescent="0.2">
      <c r="A16" s="2"/>
      <c r="D16" s="813"/>
      <c r="E16" s="814"/>
      <c r="F16" s="814"/>
      <c r="G16" s="814"/>
      <c r="H16" s="814"/>
      <c r="I16" s="814"/>
      <c r="J16" s="814"/>
      <c r="K16" s="814"/>
      <c r="L16" s="814"/>
      <c r="M16" s="814"/>
      <c r="N16" s="4"/>
    </row>
    <row r="17" spans="1:14" x14ac:dyDescent="0.2">
      <c r="A17" s="2"/>
      <c r="D17" s="12" t="s">
        <v>6</v>
      </c>
      <c r="E17" s="12"/>
      <c r="N17" s="4"/>
    </row>
    <row r="18" spans="1:14" x14ac:dyDescent="0.2">
      <c r="A18" s="2"/>
      <c r="D18" s="810"/>
      <c r="E18" s="811"/>
      <c r="F18" s="811"/>
      <c r="G18" s="811"/>
      <c r="H18" s="812"/>
      <c r="J18" s="813"/>
      <c r="K18" s="814"/>
      <c r="L18" s="814"/>
      <c r="M18" s="814"/>
      <c r="N18" s="4"/>
    </row>
    <row r="19" spans="1:14" x14ac:dyDescent="0.2">
      <c r="A19" s="2"/>
      <c r="D19" s="12" t="s">
        <v>7</v>
      </c>
      <c r="E19" s="12"/>
      <c r="J19" s="12" t="s">
        <v>8</v>
      </c>
      <c r="K19" s="12"/>
      <c r="L19" s="12"/>
      <c r="N19" s="4"/>
    </row>
    <row r="20" spans="1:14" x14ac:dyDescent="0.2">
      <c r="A20" s="2"/>
      <c r="D20" s="816"/>
      <c r="E20" s="811"/>
      <c r="F20" s="811"/>
      <c r="G20" s="811"/>
      <c r="H20" s="812"/>
      <c r="J20" s="817"/>
      <c r="K20" s="814"/>
      <c r="L20" s="814"/>
      <c r="M20" s="814"/>
      <c r="N20" s="4"/>
    </row>
    <row r="21" spans="1:14" x14ac:dyDescent="0.2">
      <c r="A21" s="2"/>
      <c r="D21" s="12" t="s">
        <v>9</v>
      </c>
      <c r="E21" s="12"/>
      <c r="J21" s="14" t="s">
        <v>137</v>
      </c>
      <c r="N21" s="4"/>
    </row>
    <row r="22" spans="1:14" ht="14.25" customHeight="1" x14ac:dyDescent="0.2">
      <c r="A22" s="2"/>
      <c r="D22" s="810"/>
      <c r="E22" s="811"/>
      <c r="F22" s="811"/>
      <c r="G22" s="811"/>
      <c r="H22" s="812"/>
      <c r="J22" s="813"/>
      <c r="K22" s="814"/>
      <c r="L22" s="814"/>
      <c r="M22" s="814"/>
      <c r="N22" s="4"/>
    </row>
    <row r="23" spans="1:14" x14ac:dyDescent="0.2">
      <c r="A23" s="2"/>
      <c r="D23" s="12" t="s">
        <v>136</v>
      </c>
      <c r="E23" s="12"/>
      <c r="J23" s="12" t="s">
        <v>10</v>
      </c>
      <c r="K23" s="12"/>
      <c r="L23" s="12"/>
      <c r="N23" s="4"/>
    </row>
    <row r="24" spans="1:14" ht="8.25" customHeight="1" x14ac:dyDescent="0.2">
      <c r="A24" s="2"/>
      <c r="D24" s="12"/>
      <c r="E24" s="12"/>
      <c r="J24" s="14"/>
      <c r="N24" s="4"/>
    </row>
    <row r="25" spans="1:14" ht="6" customHeight="1" x14ac:dyDescent="0.2">
      <c r="A25" s="2"/>
      <c r="D25" s="12"/>
      <c r="E25" s="12"/>
      <c r="N25" s="4"/>
    </row>
    <row r="26" spans="1:14" x14ac:dyDescent="0.2">
      <c r="A26" s="2"/>
      <c r="B26" s="10" t="s">
        <v>11</v>
      </c>
      <c r="D26" s="815"/>
      <c r="E26" s="815"/>
      <c r="F26" s="815"/>
      <c r="G26" s="815"/>
      <c r="H26" s="815"/>
      <c r="I26" s="815"/>
      <c r="J26" s="815"/>
      <c r="K26" s="815"/>
      <c r="L26" s="815"/>
      <c r="M26" s="815"/>
      <c r="N26" s="4"/>
    </row>
    <row r="27" spans="1:14" x14ac:dyDescent="0.2">
      <c r="A27" s="2"/>
      <c r="D27" s="12" t="s">
        <v>12</v>
      </c>
      <c r="E27" s="12"/>
      <c r="N27" s="4"/>
    </row>
    <row r="28" spans="1:14" x14ac:dyDescent="0.2">
      <c r="A28" s="2"/>
      <c r="D28" s="815"/>
      <c r="E28" s="812"/>
      <c r="F28" s="812"/>
      <c r="G28" s="812"/>
      <c r="H28" s="812"/>
      <c r="I28" s="812"/>
      <c r="J28" s="812"/>
      <c r="K28" s="812"/>
      <c r="L28" s="812"/>
      <c r="M28" s="812"/>
      <c r="N28" s="4"/>
    </row>
    <row r="29" spans="1:14" ht="14.25" customHeight="1" x14ac:dyDescent="0.2">
      <c r="A29" s="2"/>
      <c r="D29" s="12" t="s">
        <v>5</v>
      </c>
      <c r="E29" s="12"/>
      <c r="N29" s="4"/>
    </row>
    <row r="30" spans="1:14" x14ac:dyDescent="0.2">
      <c r="A30" s="2"/>
      <c r="D30" s="813"/>
      <c r="E30" s="814"/>
      <c r="F30" s="814"/>
      <c r="G30" s="814"/>
      <c r="H30" s="814"/>
      <c r="I30" s="814"/>
      <c r="J30" s="814"/>
      <c r="K30" s="814"/>
      <c r="L30" s="814"/>
      <c r="M30" s="814"/>
      <c r="N30" s="4"/>
    </row>
    <row r="31" spans="1:14" x14ac:dyDescent="0.2">
      <c r="A31" s="2"/>
      <c r="D31" s="12" t="s">
        <v>6</v>
      </c>
      <c r="E31" s="12"/>
      <c r="N31" s="4"/>
    </row>
    <row r="32" spans="1:14" x14ac:dyDescent="0.2">
      <c r="A32" s="2"/>
      <c r="D32" s="810"/>
      <c r="E32" s="811"/>
      <c r="F32" s="811"/>
      <c r="G32" s="811"/>
      <c r="H32" s="812"/>
      <c r="J32" s="813"/>
      <c r="K32" s="814"/>
      <c r="L32" s="814"/>
      <c r="M32" s="814"/>
      <c r="N32" s="4"/>
    </row>
    <row r="33" spans="1:14" x14ac:dyDescent="0.2">
      <c r="A33" s="2"/>
      <c r="D33" s="12" t="s">
        <v>7</v>
      </c>
      <c r="E33" s="12"/>
      <c r="J33" s="12" t="s">
        <v>8</v>
      </c>
      <c r="K33" s="12"/>
      <c r="L33" s="12"/>
      <c r="M33" s="12"/>
      <c r="N33" s="13"/>
    </row>
    <row r="34" spans="1:14" x14ac:dyDescent="0.2">
      <c r="A34" s="2"/>
      <c r="D34" s="816"/>
      <c r="E34" s="811"/>
      <c r="F34" s="811"/>
      <c r="G34" s="811"/>
      <c r="H34" s="812"/>
      <c r="J34" s="817"/>
      <c r="K34" s="814"/>
      <c r="L34" s="814"/>
      <c r="M34" s="814"/>
      <c r="N34" s="4"/>
    </row>
    <row r="35" spans="1:14" x14ac:dyDescent="0.2">
      <c r="A35" s="2"/>
      <c r="D35" s="12" t="s">
        <v>9</v>
      </c>
      <c r="E35" s="12"/>
      <c r="J35" s="14" t="s">
        <v>137</v>
      </c>
      <c r="N35" s="4"/>
    </row>
    <row r="36" spans="1:14" x14ac:dyDescent="0.2">
      <c r="A36" s="2"/>
      <c r="D36" s="815"/>
      <c r="E36" s="812"/>
      <c r="F36" s="812"/>
      <c r="G36" s="812"/>
      <c r="H36" s="812"/>
      <c r="I36" s="812"/>
      <c r="J36" s="812"/>
      <c r="K36" s="812"/>
      <c r="L36" s="812"/>
      <c r="M36" s="812"/>
      <c r="N36" s="4"/>
    </row>
    <row r="37" spans="1:14" x14ac:dyDescent="0.2">
      <c r="A37" s="2"/>
      <c r="D37" s="12" t="s">
        <v>251</v>
      </c>
      <c r="E37" s="12"/>
      <c r="J37" s="14"/>
      <c r="N37" s="4"/>
    </row>
    <row r="38" spans="1:14" ht="6.95" customHeight="1" x14ac:dyDescent="0.2">
      <c r="A38" s="2"/>
      <c r="D38" s="12"/>
      <c r="E38" s="12"/>
      <c r="N38" s="4"/>
    </row>
    <row r="39" spans="1:14" x14ac:dyDescent="0.2">
      <c r="A39" s="2"/>
      <c r="B39" s="39" t="s">
        <v>13</v>
      </c>
      <c r="C39" s="38"/>
      <c r="D39" s="67"/>
      <c r="E39" s="67"/>
      <c r="F39" s="38"/>
      <c r="G39" s="38"/>
      <c r="H39" s="38"/>
      <c r="I39" s="38"/>
      <c r="J39" s="38"/>
      <c r="K39" s="38"/>
      <c r="L39" s="38"/>
      <c r="M39" s="38"/>
      <c r="N39" s="4"/>
    </row>
    <row r="40" spans="1:14" ht="6" customHeight="1" x14ac:dyDescent="0.2">
      <c r="A40" s="2"/>
      <c r="D40" s="12"/>
      <c r="E40" s="12"/>
      <c r="N40" s="4"/>
    </row>
    <row r="41" spans="1:14" x14ac:dyDescent="0.2">
      <c r="A41" s="2"/>
      <c r="C41" s="557"/>
      <c r="E41" s="10"/>
      <c r="G41" s="16" t="s">
        <v>14</v>
      </c>
      <c r="H41" s="818"/>
      <c r="I41" s="812"/>
      <c r="J41" s="812"/>
      <c r="K41" s="812"/>
      <c r="L41" s="812"/>
      <c r="M41" s="812"/>
      <c r="N41" s="4"/>
    </row>
    <row r="42" spans="1:14" ht="6" customHeight="1" x14ac:dyDescent="0.2">
      <c r="A42" s="2"/>
      <c r="D42" s="12"/>
      <c r="E42" s="12"/>
      <c r="N42" s="4"/>
    </row>
    <row r="43" spans="1:14" s="3" customFormat="1" ht="12.75" customHeight="1" x14ac:dyDescent="0.2">
      <c r="A43" s="2"/>
      <c r="B43" s="10" t="s">
        <v>15</v>
      </c>
      <c r="D43" s="12"/>
      <c r="E43" s="12"/>
      <c r="I43" s="337"/>
      <c r="N43" s="4"/>
    </row>
    <row r="44" spans="1:14" ht="9" customHeight="1" x14ac:dyDescent="0.2">
      <c r="A44" s="2"/>
      <c r="D44" s="12"/>
      <c r="E44" s="12"/>
      <c r="N44" s="4"/>
    </row>
    <row r="45" spans="1:14" ht="12.75" customHeight="1" x14ac:dyDescent="0.2">
      <c r="A45" s="2"/>
      <c r="B45" s="15" t="s">
        <v>402</v>
      </c>
      <c r="D45" s="12"/>
      <c r="E45" s="12"/>
      <c r="H45" s="588"/>
      <c r="K45" s="638">
        <f>DATEDIF(H45,H52,"m")</f>
        <v>0</v>
      </c>
      <c r="N45" s="4"/>
    </row>
    <row r="46" spans="1:14" ht="12.75" customHeight="1" thickBot="1" x14ac:dyDescent="0.25">
      <c r="A46" s="2"/>
      <c r="D46" s="12"/>
      <c r="E46" s="12"/>
      <c r="K46" s="592" t="str">
        <f>IF(AND(H45="",H52&lt;&gt;""),"Bitte Erfassung des Zulassungsdatums!","")</f>
        <v/>
      </c>
      <c r="N46" s="4"/>
    </row>
    <row r="47" spans="1:14" ht="15" thickBot="1" x14ac:dyDescent="0.25">
      <c r="A47" s="2"/>
      <c r="B47" s="15" t="s">
        <v>16</v>
      </c>
      <c r="L47" s="558"/>
      <c r="N47" s="4"/>
    </row>
    <row r="48" spans="1:14" ht="5.0999999999999996" customHeight="1" x14ac:dyDescent="0.2">
      <c r="A48" s="2"/>
      <c r="B48" s="15"/>
      <c r="N48" s="4"/>
    </row>
    <row r="49" spans="1:15" ht="6.95" customHeight="1" x14ac:dyDescent="0.2">
      <c r="A49" s="2"/>
      <c r="B49" s="15"/>
      <c r="H49" s="748" t="str">
        <f>IF(AND(L48&gt;0,D7&lt;&gt;"vst"),"Erfassung nur bei vst. Einrichtungen möglich.","")</f>
        <v/>
      </c>
      <c r="L49" s="224"/>
      <c r="N49" s="4"/>
    </row>
    <row r="50" spans="1:15" ht="12.75" customHeight="1" x14ac:dyDescent="0.2">
      <c r="A50" s="338"/>
      <c r="B50" s="339" t="s">
        <v>17</v>
      </c>
      <c r="C50" s="17"/>
      <c r="D50" s="17"/>
      <c r="E50" s="340"/>
      <c r="F50" s="341"/>
      <c r="G50" s="341"/>
      <c r="H50" s="559"/>
      <c r="L50" s="16" t="s">
        <v>18</v>
      </c>
      <c r="M50" s="562"/>
      <c r="N50" s="18"/>
    </row>
    <row r="51" spans="1:15" ht="8.25" customHeight="1" thickBot="1" x14ac:dyDescent="0.25">
      <c r="A51" s="2"/>
      <c r="B51" s="15"/>
      <c r="N51" s="4"/>
    </row>
    <row r="52" spans="1:15" s="343" customFormat="1" ht="13.5" thickBot="1" x14ac:dyDescent="0.25">
      <c r="A52" s="342"/>
      <c r="B52" s="339" t="s">
        <v>578</v>
      </c>
      <c r="E52" s="344"/>
      <c r="F52" s="819" t="s">
        <v>19</v>
      </c>
      <c r="G52" s="819"/>
      <c r="H52" s="560"/>
      <c r="I52" s="345"/>
      <c r="J52" s="346" t="s">
        <v>20</v>
      </c>
      <c r="K52" s="561"/>
      <c r="N52" s="347"/>
      <c r="O52" s="400"/>
    </row>
    <row r="53" spans="1:15" s="343" customFormat="1" ht="7.5" customHeight="1" x14ac:dyDescent="0.2">
      <c r="A53" s="342"/>
      <c r="B53" s="339"/>
      <c r="E53" s="344"/>
      <c r="F53" s="405"/>
      <c r="G53" s="405"/>
      <c r="H53" s="555"/>
      <c r="I53" s="401"/>
      <c r="J53" s="402"/>
      <c r="K53" s="556"/>
      <c r="N53" s="347"/>
      <c r="O53" s="400"/>
    </row>
    <row r="54" spans="1:15" s="343" customFormat="1" ht="12.75" x14ac:dyDescent="0.2">
      <c r="A54" s="342"/>
      <c r="B54" s="339" t="s">
        <v>390</v>
      </c>
      <c r="E54" s="344"/>
      <c r="F54" s="819" t="s">
        <v>19</v>
      </c>
      <c r="G54" s="819"/>
      <c r="H54" s="559"/>
      <c r="I54" s="345"/>
      <c r="J54" s="346" t="s">
        <v>20</v>
      </c>
      <c r="K54" s="559"/>
      <c r="N54" s="347"/>
      <c r="O54" s="400"/>
    </row>
    <row r="55" spans="1:15" s="343" customFormat="1" ht="9" customHeight="1" x14ac:dyDescent="0.2">
      <c r="A55" s="342"/>
      <c r="B55" s="339"/>
      <c r="E55" s="344"/>
      <c r="F55" s="405"/>
      <c r="G55" s="405"/>
      <c r="H55" s="639"/>
      <c r="I55" s="401"/>
      <c r="J55" s="402"/>
      <c r="K55" s="639"/>
      <c r="N55" s="347"/>
      <c r="O55" s="400"/>
    </row>
    <row r="56" spans="1:15" s="343" customFormat="1" ht="12.75" x14ac:dyDescent="0.2">
      <c r="A56" s="342"/>
      <c r="B56" s="339" t="s">
        <v>435</v>
      </c>
      <c r="E56" s="344"/>
      <c r="F56" s="405"/>
      <c r="G56" s="405"/>
      <c r="H56" s="1009" t="s">
        <v>130</v>
      </c>
      <c r="I56" s="345"/>
      <c r="J56" s="346"/>
      <c r="N56" s="347"/>
      <c r="O56" s="400"/>
    </row>
    <row r="57" spans="1:15" s="343" customFormat="1" ht="12.75" x14ac:dyDescent="0.2">
      <c r="A57" s="342"/>
      <c r="B57" s="339" t="s">
        <v>434</v>
      </c>
      <c r="E57" s="344"/>
      <c r="F57" s="405"/>
      <c r="G57" s="405"/>
      <c r="H57" s="823"/>
      <c r="I57" s="824"/>
      <c r="J57" s="824"/>
      <c r="K57" s="824"/>
      <c r="L57" s="824"/>
      <c r="M57" s="825"/>
      <c r="N57" s="347"/>
      <c r="O57" s="400"/>
    </row>
    <row r="58" spans="1:15" s="343" customFormat="1" ht="12.75" x14ac:dyDescent="0.2">
      <c r="A58" s="342"/>
      <c r="B58" s="339" t="s">
        <v>436</v>
      </c>
      <c r="E58" s="344"/>
      <c r="F58" s="405"/>
      <c r="G58" s="405"/>
      <c r="H58" s="609"/>
      <c r="I58" s="640"/>
      <c r="J58" s="640"/>
      <c r="K58" s="611" t="str">
        <f>IF(H57="","Bitte Angaben zum Tarif / AVR vornehmen.","")</f>
        <v>Bitte Angaben zum Tarif / AVR vornehmen.</v>
      </c>
      <c r="L58" s="640"/>
      <c r="M58" s="640"/>
      <c r="N58" s="347"/>
      <c r="O58" s="400"/>
    </row>
    <row r="59" spans="1:15" ht="9" customHeight="1" x14ac:dyDescent="0.2">
      <c r="A59" s="2"/>
      <c r="B59" s="15"/>
      <c r="N59" s="4"/>
    </row>
    <row r="60" spans="1:15" ht="12.75" customHeight="1" x14ac:dyDescent="0.2">
      <c r="A60" s="19"/>
      <c r="B60" s="349" t="s">
        <v>162</v>
      </c>
      <c r="C60" s="248"/>
      <c r="D60" s="248"/>
      <c r="E60" s="248"/>
      <c r="F60" s="248"/>
      <c r="G60" s="248"/>
      <c r="H60" s="248"/>
      <c r="I60" s="248"/>
      <c r="J60" s="248"/>
      <c r="K60" s="248"/>
      <c r="L60" s="248"/>
      <c r="M60" s="248"/>
      <c r="N60" s="18"/>
    </row>
    <row r="61" spans="1:15" ht="6.75" customHeight="1" x14ac:dyDescent="0.2">
      <c r="A61" s="19"/>
      <c r="B61" s="339"/>
      <c r="C61"/>
      <c r="D61"/>
      <c r="E61"/>
      <c r="F61"/>
      <c r="G61"/>
      <c r="H61"/>
      <c r="I61"/>
      <c r="J61"/>
      <c r="K61"/>
      <c r="L61"/>
      <c r="M61"/>
      <c r="N61" s="18"/>
    </row>
    <row r="62" spans="1:15" ht="15" customHeight="1" x14ac:dyDescent="0.2">
      <c r="A62" s="19"/>
      <c r="B62"/>
      <c r="C62" s="177" t="s">
        <v>160</v>
      </c>
      <c r="D62" s="20"/>
      <c r="E62" s="350"/>
      <c r="F62" s="350"/>
      <c r="G62" s="74"/>
      <c r="H62" s="21"/>
      <c r="I62" s="351"/>
      <c r="J62" s="352"/>
      <c r="K62" s="169"/>
      <c r="L62" s="20"/>
      <c r="M62" s="169"/>
      <c r="N62" s="4"/>
    </row>
    <row r="63" spans="1:15" s="343" customFormat="1" ht="14.25" customHeight="1" x14ac:dyDescent="0.2">
      <c r="A63" s="342"/>
      <c r="C63" s="354" t="s">
        <v>21</v>
      </c>
      <c r="D63" s="355"/>
      <c r="E63" s="355"/>
      <c r="F63" s="355"/>
      <c r="G63" s="355"/>
      <c r="H63" s="72" t="s">
        <v>163</v>
      </c>
      <c r="I63" s="355"/>
      <c r="J63" s="355"/>
      <c r="K63" s="563"/>
      <c r="M63" s="347"/>
      <c r="N63" s="347"/>
    </row>
    <row r="64" spans="1:15" s="343" customFormat="1" ht="14.25" customHeight="1" x14ac:dyDescent="0.2">
      <c r="A64" s="342"/>
      <c r="C64" s="354" t="s">
        <v>22</v>
      </c>
      <c r="D64" s="355"/>
      <c r="E64" s="355"/>
      <c r="F64" s="355"/>
      <c r="G64" s="355"/>
      <c r="H64" s="72" t="s">
        <v>163</v>
      </c>
      <c r="I64" s="355"/>
      <c r="J64" s="355"/>
      <c r="K64" s="564"/>
      <c r="L64" s="356"/>
      <c r="M64" s="357"/>
      <c r="N64" s="347"/>
    </row>
    <row r="65" spans="1:14" s="343" customFormat="1" ht="14.25" customHeight="1" x14ac:dyDescent="0.2">
      <c r="A65" s="342"/>
      <c r="C65" s="354" t="s">
        <v>23</v>
      </c>
      <c r="D65" s="355"/>
      <c r="E65" s="355"/>
      <c r="F65" s="355"/>
      <c r="G65" s="355"/>
      <c r="H65" s="72" t="s">
        <v>163</v>
      </c>
      <c r="I65" s="355"/>
      <c r="J65" s="355"/>
      <c r="K65" s="564"/>
      <c r="L65" s="356"/>
      <c r="M65" s="357"/>
      <c r="N65" s="347"/>
    </row>
    <row r="66" spans="1:14" s="343" customFormat="1" ht="14.25" customHeight="1" x14ac:dyDescent="0.2">
      <c r="A66" s="342"/>
      <c r="C66" s="354" t="s">
        <v>24</v>
      </c>
      <c r="D66" s="355"/>
      <c r="E66" s="355"/>
      <c r="F66" s="355"/>
      <c r="G66" s="355"/>
      <c r="H66" s="72" t="s">
        <v>163</v>
      </c>
      <c r="I66" s="355"/>
      <c r="J66" s="355"/>
      <c r="K66" s="563"/>
      <c r="L66" s="356"/>
      <c r="M66" s="357"/>
      <c r="N66" s="347"/>
    </row>
    <row r="67" spans="1:14" s="343" customFormat="1" ht="14.25" customHeight="1" x14ac:dyDescent="0.2">
      <c r="A67" s="342"/>
      <c r="C67" s="354" t="s">
        <v>25</v>
      </c>
      <c r="D67" s="355"/>
      <c r="E67" s="355"/>
      <c r="F67" s="355"/>
      <c r="G67" s="355"/>
      <c r="H67" s="72" t="s">
        <v>163</v>
      </c>
      <c r="I67" s="355"/>
      <c r="J67" s="355"/>
      <c r="K67" s="563"/>
      <c r="L67" s="356"/>
      <c r="M67" s="357"/>
      <c r="N67" s="347"/>
    </row>
    <row r="68" spans="1:14" s="343" customFormat="1" ht="14.25" customHeight="1" x14ac:dyDescent="0.2">
      <c r="A68" s="342"/>
      <c r="C68" s="354" t="s">
        <v>26</v>
      </c>
      <c r="D68" s="355"/>
      <c r="E68" s="355"/>
      <c r="F68" s="355"/>
      <c r="G68" s="355"/>
      <c r="H68" s="72" t="s">
        <v>163</v>
      </c>
      <c r="I68" s="355"/>
      <c r="J68" s="355"/>
      <c r="K68" s="563"/>
      <c r="L68" s="356"/>
      <c r="M68" s="357"/>
      <c r="N68" s="347"/>
    </row>
    <row r="69" spans="1:14" s="343" customFormat="1" ht="14.25" customHeight="1" x14ac:dyDescent="0.2">
      <c r="A69" s="342"/>
      <c r="C69" s="22" t="s">
        <v>27</v>
      </c>
      <c r="D69" s="23"/>
      <c r="E69" s="23"/>
      <c r="F69" s="23"/>
      <c r="G69" s="358"/>
      <c r="H69" s="27" t="s">
        <v>163</v>
      </c>
      <c r="I69" s="359"/>
      <c r="J69" s="359"/>
      <c r="K69" s="563"/>
      <c r="L69" s="356"/>
      <c r="M69" s="357"/>
      <c r="N69" s="347"/>
    </row>
    <row r="70" spans="1:14" s="343" customFormat="1" ht="7.5" customHeight="1" x14ac:dyDescent="0.2">
      <c r="A70" s="342"/>
      <c r="C70" s="24"/>
      <c r="D70" s="10"/>
      <c r="E70" s="10"/>
      <c r="F70" s="10"/>
      <c r="H70" s="10"/>
      <c r="I70" s="10"/>
      <c r="J70" s="10"/>
      <c r="K70" s="75"/>
      <c r="M70" s="347"/>
      <c r="N70" s="347"/>
    </row>
    <row r="71" spans="1:14" s="343" customFormat="1" ht="12.75" customHeight="1" x14ac:dyDescent="0.2">
      <c r="A71" s="342"/>
      <c r="C71" s="22"/>
      <c r="D71" s="23"/>
      <c r="E71" s="25"/>
      <c r="F71" s="25"/>
      <c r="G71" s="358"/>
      <c r="H71" s="26" t="s">
        <v>161</v>
      </c>
      <c r="I71" s="358"/>
      <c r="J71" s="27"/>
      <c r="K71" s="565"/>
      <c r="L71" s="360"/>
      <c r="M71" s="361"/>
      <c r="N71" s="347"/>
    </row>
    <row r="72" spans="1:14" s="343" customFormat="1" ht="12.75" customHeight="1" x14ac:dyDescent="0.2">
      <c r="A72" s="342"/>
      <c r="C72" s="10"/>
      <c r="D72" s="10"/>
      <c r="E72" s="28"/>
      <c r="F72" s="28"/>
      <c r="G72" s="28"/>
      <c r="H72" s="28"/>
      <c r="I72" s="28"/>
      <c r="J72" s="28"/>
      <c r="K72" s="598" t="str">
        <f>IF(AND(H52&gt;0,K71&lt;5),"Mappe 'Allgemeine Angaben' und Mappe 'Forderung' an den KSV senden!","")</f>
        <v/>
      </c>
      <c r="L72" s="28"/>
      <c r="M72" s="10"/>
      <c r="N72" s="29"/>
    </row>
    <row r="73" spans="1:14" s="33" customFormat="1" ht="14.25" customHeight="1" x14ac:dyDescent="0.2">
      <c r="A73" s="30"/>
      <c r="B73" s="68" t="s">
        <v>263</v>
      </c>
      <c r="C73" s="68"/>
      <c r="D73" s="68"/>
      <c r="E73" s="68"/>
      <c r="F73" s="68"/>
      <c r="G73" s="68"/>
      <c r="H73" s="68"/>
      <c r="I73" s="68"/>
      <c r="J73" s="68"/>
      <c r="K73" s="68"/>
      <c r="L73" s="68"/>
      <c r="M73" s="68"/>
      <c r="N73" s="32"/>
    </row>
    <row r="74" spans="1:14" s="343" customFormat="1" ht="3" customHeight="1" x14ac:dyDescent="0.2">
      <c r="A74" s="342"/>
      <c r="C74" s="10"/>
      <c r="D74" s="10"/>
      <c r="E74" s="28"/>
      <c r="F74" s="28"/>
      <c r="G74" s="28"/>
      <c r="H74" s="28"/>
      <c r="I74" s="28"/>
      <c r="J74" s="28"/>
      <c r="K74" s="28"/>
      <c r="L74" s="28"/>
      <c r="M74" s="10"/>
      <c r="N74" s="29"/>
    </row>
    <row r="75" spans="1:14" s="33" customFormat="1" ht="14.25" customHeight="1" x14ac:dyDescent="0.2">
      <c r="A75" s="30"/>
      <c r="B75" s="590" t="s">
        <v>403</v>
      </c>
      <c r="E75" s="31"/>
      <c r="F75" s="31"/>
      <c r="G75" s="31"/>
      <c r="H75" s="31"/>
      <c r="I75" s="31"/>
      <c r="J75" s="31"/>
      <c r="K75" s="31"/>
      <c r="L75" s="566"/>
      <c r="M75" s="65"/>
      <c r="N75" s="32"/>
    </row>
    <row r="76" spans="1:14" s="343" customFormat="1" ht="3" customHeight="1" x14ac:dyDescent="0.2">
      <c r="A76" s="342"/>
      <c r="C76" s="10"/>
      <c r="D76" s="10"/>
      <c r="E76" s="10"/>
      <c r="F76" s="10"/>
      <c r="G76" s="10"/>
      <c r="H76" s="10"/>
      <c r="I76" s="10"/>
      <c r="J76" s="10"/>
      <c r="K76" s="10"/>
      <c r="M76" s="66"/>
      <c r="N76" s="29"/>
    </row>
    <row r="77" spans="1:14" s="33" customFormat="1" ht="14.25" customHeight="1" x14ac:dyDescent="0.2">
      <c r="A77" s="30"/>
      <c r="B77" s="168" t="s">
        <v>264</v>
      </c>
      <c r="E77" s="31"/>
      <c r="F77" s="31"/>
      <c r="G77" s="31"/>
      <c r="H77" s="31"/>
      <c r="I77" s="31"/>
      <c r="J77" s="31"/>
      <c r="K77" s="31"/>
      <c r="L77" s="566"/>
      <c r="M77" s="65"/>
      <c r="N77" s="32"/>
    </row>
    <row r="78" spans="1:14" ht="12.75" customHeight="1" x14ac:dyDescent="0.2">
      <c r="A78" s="34"/>
      <c r="B78" s="35"/>
      <c r="C78" s="35"/>
      <c r="D78" s="35"/>
      <c r="E78" s="35"/>
      <c r="F78" s="35"/>
      <c r="G78" s="35"/>
      <c r="H78" s="35"/>
      <c r="I78" s="35"/>
      <c r="J78" s="35"/>
      <c r="K78" s="35"/>
      <c r="L78" s="35"/>
      <c r="M78" s="35"/>
      <c r="N78" s="36"/>
    </row>
    <row r="79" spans="1:14" ht="15" thickBot="1" x14ac:dyDescent="0.25"/>
    <row r="80" spans="1:14" ht="15" thickBot="1" x14ac:dyDescent="0.25">
      <c r="D80" s="820" t="s">
        <v>653</v>
      </c>
      <c r="E80" s="821"/>
      <c r="F80" s="821"/>
      <c r="G80" s="821"/>
      <c r="H80" s="821"/>
      <c r="I80" s="821"/>
      <c r="J80" s="822"/>
    </row>
  </sheetData>
  <sheetProtection algorithmName="SHA-512" hashValue="zLv9dYgSKw04obit07xSLmfXBRuEfHk2bMrVlofHepbOajFRuWsw70aS3A/MhMPiAqxxSbxJqYzVm7HD8fEAlA==" saltValue="kx9iLOcCcY/1544GoDSNxA==" spinCount="100000" sheet="1" selectLockedCells="1"/>
  <mergeCells count="30">
    <mergeCell ref="A1:M1"/>
    <mergeCell ref="H8:K8"/>
    <mergeCell ref="A2:N2"/>
    <mergeCell ref="A3:N3"/>
    <mergeCell ref="D6:G6"/>
    <mergeCell ref="L6:M6"/>
    <mergeCell ref="A5:B5"/>
    <mergeCell ref="L4:M4"/>
    <mergeCell ref="D36:M36"/>
    <mergeCell ref="H41:M41"/>
    <mergeCell ref="F52:G52"/>
    <mergeCell ref="D80:J80"/>
    <mergeCell ref="D34:H34"/>
    <mergeCell ref="J34:M34"/>
    <mergeCell ref="F54:G54"/>
    <mergeCell ref="H57:M57"/>
    <mergeCell ref="D32:H32"/>
    <mergeCell ref="J32:M32"/>
    <mergeCell ref="D12:M12"/>
    <mergeCell ref="D14:M14"/>
    <mergeCell ref="D16:M16"/>
    <mergeCell ref="D18:H18"/>
    <mergeCell ref="J18:M18"/>
    <mergeCell ref="D20:H20"/>
    <mergeCell ref="D30:M30"/>
    <mergeCell ref="J20:M20"/>
    <mergeCell ref="D22:H22"/>
    <mergeCell ref="J22:M22"/>
    <mergeCell ref="D26:M26"/>
    <mergeCell ref="D28:M28"/>
  </mergeCells>
  <conditionalFormatting sqref="D8:K8">
    <cfRule type="expression" dxfId="61" priority="2">
      <formula>$D$7&lt;&gt;"kzp"</formula>
    </cfRule>
  </conditionalFormatting>
  <conditionalFormatting sqref="L41">
    <cfRule type="expression" dxfId="60" priority="4">
      <formula>Wennoder($L$48&lt;0,$L$48=0,"")</formula>
    </cfRule>
  </conditionalFormatting>
  <dataValidations xWindow="346" yWindow="397" count="8">
    <dataValidation type="date" errorStyle="warning" operator="greaterThan" allowBlank="1" showInputMessage="1" showErrorMessage="1" errorTitle="Laufzeitbeginn im Jahr 2017" error="Laufzeitbeginn ab 01.01.2017 möglich" sqref="H52:H55" xr:uid="{00000000-0002-0000-0200-000000000000}">
      <formula1>42735</formula1>
    </dataValidation>
    <dataValidation allowBlank="1" showInputMessage="1" showErrorMessage="1" promptTitle="Quorum" prompt="Bitte Hinweise zur Berechnung des Anteils beachten!" sqref="K71" xr:uid="{00000000-0002-0000-0200-000001000000}"/>
    <dataValidation type="whole" errorStyle="information" allowBlank="1" showInputMessage="1" showErrorMessage="1" errorTitle="angebundene KZP" promptTitle="angebundene KZP" prompt="siehe allgemeine Hinweise" sqref="L49" xr:uid="{00000000-0002-0000-0200-000002000000}">
      <formula1>1</formula1>
      <formula2>30</formula2>
    </dataValidation>
    <dataValidation type="list" allowBlank="1" showInputMessage="1" showErrorMessage="1" sqref="L75 L77" xr:uid="{00000000-0002-0000-0200-000003000000}">
      <formula1>"ja,nein"</formula1>
    </dataValidation>
    <dataValidation type="whole" errorStyle="information" allowBlank="1" showInputMessage="1" showErrorMessage="1" errorTitle="angebundene / integrierte KZP" promptTitle="angebundene / integrierte KZP" prompt="siehe allgemeine Hinweise des aktuell in der PSK abgestimmten Verhandlungsantrages für vollstationäre Pflegeeinrichtungen" sqref="L48" xr:uid="{00000000-0002-0000-0200-000004000000}">
      <formula1>1</formula1>
      <formula2>30</formula2>
    </dataValidation>
    <dataValidation errorStyle="warning" operator="greaterThan" allowBlank="1" showInputMessage="1" sqref="I57:M58 H57" xr:uid="{ABB6007B-A73C-468F-9BCB-8D10BCF118A1}"/>
    <dataValidation type="date" errorStyle="warning" operator="greaterThan" allowBlank="1" showInputMessage="1" sqref="H58" xr:uid="{385861D1-ED48-4CF4-8A6A-E3ABF3A44F0E}">
      <formula1>43831</formula1>
    </dataValidation>
    <dataValidation errorStyle="warning" operator="greaterThan" allowBlank="1" showInputMessage="1" showErrorMessage="1" error="Angabe nur mit ja oder nein" sqref="H56" xr:uid="{156640AA-2085-4572-97A3-D1B5B7B35559}"/>
  </dataValidations>
  <hyperlinks>
    <hyperlink ref="D80" location="'Anlage 1'!A1" display="Anlage 1" xr:uid="{00000000-0004-0000-0200-000000000000}"/>
    <hyperlink ref="D80:J80" location="B3_Kalkulation!A1" display="gehe weiter zu B3_Kalkulation" xr:uid="{00000000-0004-0000-0200-000001000000}"/>
  </hyperlinks>
  <pageMargins left="0.70866141732283472" right="0.70866141732283472" top="0.78740157480314965" bottom="0.78740157480314965" header="0.31496062992125984" footer="0.31496062992125984"/>
  <pageSetup paperSize="9" scale="76" orientation="portrait"/>
  <headerFooter>
    <oddHeader>&amp;C&amp;9Seite 1</oddHeader>
    <oddFooter>&amp;L&amp;8Version 22.11.2024&amp;C&amp;8Verhandlungsunterlagen SGB XI (B3 vereinfacht)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7</xdr:col>
                    <xdr:colOff>828675</xdr:colOff>
                    <xdr:row>41</xdr:row>
                    <xdr:rowOff>38100</xdr:rowOff>
                  </from>
                  <to>
                    <xdr:col>9</xdr:col>
                    <xdr:colOff>66675</xdr:colOff>
                    <xdr:row>43</xdr:row>
                    <xdr:rowOff>66675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12</xdr:col>
                    <xdr:colOff>266700</xdr:colOff>
                    <xdr:row>48</xdr:row>
                    <xdr:rowOff>133350</xdr:rowOff>
                  </from>
                  <to>
                    <xdr:col>12</xdr:col>
                    <xdr:colOff>485775</xdr:colOff>
                    <xdr:row>50</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58201E7B-D36B-423D-A614-0335F26C4175}">
            <xm:f>KAT!$A$101="nein"</xm:f>
            <x14:dxf>
              <fill>
                <patternFill>
                  <bgColor theme="0"/>
                </patternFill>
              </fill>
            </x14:dxf>
          </x14:cfRule>
          <xm:sqref>D7 J9 D11 K45:K46 H49 K58 K72</xm:sqref>
        </x14:conditionalFormatting>
      </x14:conditionalFormattings>
    </ext>
    <ext xmlns:x14="http://schemas.microsoft.com/office/spreadsheetml/2009/9/main" uri="{CCE6A557-97BC-4b89-ADB6-D9C93CAAB3DF}">
      <x14:dataValidations xmlns:xm="http://schemas.microsoft.com/office/excel/2006/main" xWindow="346" yWindow="397" count="3">
        <x14:dataValidation type="list" allowBlank="1" showInputMessage="1" showErrorMessage="1" errorTitle="Einrichtungsart" error="bitte aus Liste auswählen" promptTitle="Auswahlmöglichkeit" prompt="teilstationäre Pflege_x000a_Kurzzeitpflege_x000a__x000a_" xr:uid="{00000000-0002-0000-0200-000005000000}">
          <x14:formula1>
            <xm:f>KAT!$A$2:$A$3</xm:f>
          </x14:formula1>
          <xm:sqref>D6:G6</xm:sqref>
        </x14:dataValidation>
        <x14:dataValidation type="list" allowBlank="1" showInputMessage="1" showErrorMessage="1" errorTitle="Auswahlmöglichkeit" error="Bitte aus Liste wählen!" xr:uid="{00000000-0002-0000-0200-000006000000}">
          <x14:formula1>
            <xm:f>KAT!$F$2:$F$4</xm:f>
          </x14:formula1>
          <xm:sqref>C41</xm:sqref>
        </x14:dataValidation>
        <x14:dataValidation type="list" allowBlank="1" showInputMessage="1" showErrorMessage="1" xr:uid="{00000000-0002-0000-0200-000007000000}">
          <x14:formula1>
            <xm:f>KAT!$A$10:$A$11</xm:f>
          </x14:formula1>
          <xm:sqref>H8:K8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68"/>
  <sheetViews>
    <sheetView showGridLines="0" zoomScaleNormal="100" workbookViewId="0">
      <selection activeCell="D6" sqref="D6"/>
    </sheetView>
  </sheetViews>
  <sheetFormatPr baseColWidth="10" defaultRowHeight="14.25" x14ac:dyDescent="0.2"/>
  <cols>
    <col min="1" max="1" width="4.375" customWidth="1"/>
    <col min="2" max="2" width="21.875" customWidth="1"/>
    <col min="3" max="3" width="21.25" customWidth="1"/>
    <col min="4" max="4" width="17.625" customWidth="1"/>
    <col min="5" max="5" width="20.625" customWidth="1"/>
    <col min="6" max="6" width="17.625" customWidth="1"/>
    <col min="7" max="7" width="2.375" customWidth="1"/>
    <col min="8" max="8" width="21.625" customWidth="1"/>
    <col min="9" max="10" width="17.625" customWidth="1"/>
    <col min="11" max="11" width="20.625" customWidth="1"/>
    <col min="12" max="12" width="17.625" customWidth="1"/>
    <col min="13" max="13" width="23.875" customWidth="1"/>
    <col min="14" max="14" width="5" customWidth="1"/>
    <col min="15" max="18" width="12.625" customWidth="1"/>
    <col min="19" max="24" width="11" customWidth="1"/>
  </cols>
  <sheetData>
    <row r="1" spans="1:18" ht="15" x14ac:dyDescent="0.25">
      <c r="A1" s="853" t="str">
        <f>'B3_Allgemeine Angaben'!A1:N1</f>
        <v>Vereinfachtes Verfahren der Aufforderung zum Abschluss einer Pflegesatzvereinbarung gemäß   § 84, 85 SGB XI</v>
      </c>
      <c r="B1" s="853"/>
      <c r="C1" s="853"/>
      <c r="D1" s="853"/>
      <c r="E1" s="853"/>
      <c r="F1" s="853"/>
      <c r="G1" s="853"/>
      <c r="H1" s="853"/>
      <c r="I1" s="853"/>
      <c r="J1" s="853"/>
      <c r="K1" s="853"/>
      <c r="L1" s="853"/>
      <c r="M1" s="853"/>
      <c r="N1" s="853"/>
      <c r="O1" s="853"/>
      <c r="P1" s="853"/>
      <c r="Q1" s="248"/>
      <c r="R1" s="248"/>
    </row>
    <row r="2" spans="1:18" ht="15" x14ac:dyDescent="0.25">
      <c r="A2" s="853" t="s">
        <v>365</v>
      </c>
      <c r="B2" s="853"/>
      <c r="C2" s="853"/>
      <c r="D2" s="853"/>
      <c r="E2" s="853"/>
      <c r="F2" s="853"/>
      <c r="G2" s="853"/>
      <c r="H2" s="853"/>
      <c r="I2" s="853"/>
      <c r="J2" s="853"/>
      <c r="K2" s="853"/>
      <c r="L2" s="853"/>
      <c r="M2" s="853"/>
      <c r="N2" s="853"/>
      <c r="O2" s="853"/>
      <c r="P2" s="853"/>
      <c r="Q2" s="248"/>
      <c r="R2" s="248"/>
    </row>
    <row r="3" spans="1:18" x14ac:dyDescent="0.2">
      <c r="A3" s="248" t="str">
        <f>'B3_Allgemeine Angaben'!A3:N3</f>
        <v/>
      </c>
      <c r="B3" s="248"/>
      <c r="C3" s="248"/>
      <c r="D3" s="248"/>
      <c r="E3" s="248"/>
      <c r="F3" s="248"/>
      <c r="G3" s="248"/>
      <c r="H3" s="248"/>
      <c r="I3" s="248"/>
      <c r="J3" s="248"/>
      <c r="K3" s="248"/>
      <c r="L3" s="248"/>
      <c r="M3" s="248"/>
      <c r="N3" s="248"/>
      <c r="O3" s="248"/>
      <c r="P3" s="248"/>
      <c r="Q3" s="248"/>
      <c r="R3" s="248"/>
    </row>
    <row r="4" spans="1:18" x14ac:dyDescent="0.2">
      <c r="A4" s="249" t="str">
        <f>'B3_Allgemeine Angaben'!A4:N4</f>
        <v/>
      </c>
      <c r="B4" s="250"/>
      <c r="C4" s="248"/>
      <c r="D4" s="248"/>
      <c r="E4" s="248"/>
      <c r="F4" s="248"/>
      <c r="G4" s="248"/>
      <c r="H4" s="248"/>
      <c r="I4" s="248"/>
      <c r="J4" s="248"/>
      <c r="K4" s="248"/>
      <c r="L4" s="248"/>
      <c r="M4" s="248"/>
      <c r="N4" s="248"/>
      <c r="O4" s="248"/>
      <c r="P4" s="248"/>
      <c r="Q4" s="248"/>
      <c r="R4" s="248"/>
    </row>
    <row r="5" spans="1:18" ht="9" customHeight="1" x14ac:dyDescent="0.2"/>
    <row r="6" spans="1:18" x14ac:dyDescent="0.2">
      <c r="B6" s="239" t="s">
        <v>164</v>
      </c>
      <c r="D6" s="567"/>
      <c r="E6" s="585"/>
      <c r="F6" s="585"/>
      <c r="H6" s="239" t="s">
        <v>28</v>
      </c>
      <c r="I6" s="568"/>
      <c r="K6" s="239" t="s">
        <v>1</v>
      </c>
      <c r="L6" s="234" t="str">
        <f>IF('B3_Allgemeine Angaben'!D6&gt;0,'B3_Allgemeine Angaben'!D6,"")</f>
        <v/>
      </c>
      <c r="M6" s="291"/>
    </row>
    <row r="7" spans="1:18" ht="14.25" customHeight="1" x14ac:dyDescent="0.25">
      <c r="B7" s="239" t="s">
        <v>405</v>
      </c>
      <c r="C7" s="591">
        <f>IF('B3_Allgemeine Angaben'!K45-3&gt;24,24,'B3_Allgemeine Angaben'!K45-3)</f>
        <v>-3</v>
      </c>
      <c r="D7" s="589"/>
      <c r="E7" s="527" t="s">
        <v>401</v>
      </c>
      <c r="F7" s="597" t="e">
        <f>D7/('B3_Allgemeine Angaben'!L47*365/12*C7)</f>
        <v>#DIV/0!</v>
      </c>
    </row>
    <row r="8" spans="1:18" ht="15" x14ac:dyDescent="0.25">
      <c r="B8" s="60" t="s">
        <v>265</v>
      </c>
      <c r="H8" s="252" t="s">
        <v>277</v>
      </c>
      <c r="I8" s="20"/>
      <c r="J8" s="20"/>
      <c r="K8" s="20"/>
      <c r="L8" s="20"/>
      <c r="M8" s="20"/>
      <c r="N8" s="20"/>
      <c r="O8" s="20"/>
      <c r="P8" s="20"/>
      <c r="Q8" s="20"/>
      <c r="R8" s="169"/>
    </row>
    <row r="9" spans="1:18" ht="5.25" customHeight="1" x14ac:dyDescent="0.2">
      <c r="D9" s="251"/>
      <c r="H9" s="19"/>
      <c r="J9" s="251"/>
      <c r="R9" s="18"/>
    </row>
    <row r="10" spans="1:18" x14ac:dyDescent="0.2">
      <c r="B10" t="s">
        <v>317</v>
      </c>
      <c r="C10" s="240" t="s">
        <v>266</v>
      </c>
      <c r="D10" s="601" t="str">
        <f>IF('B3_Allgemeine Angaben'!H54=0,"",'B3_Allgemeine Angaben'!H54)</f>
        <v/>
      </c>
      <c r="E10" s="240" t="s">
        <v>138</v>
      </c>
      <c r="F10" s="601" t="str">
        <f>IF('B3_Allgemeine Angaben'!K54=0,"",'B3_Allgemeine Angaben'!K54)</f>
        <v/>
      </c>
      <c r="H10" s="19" t="s">
        <v>317</v>
      </c>
      <c r="I10" s="240" t="s">
        <v>266</v>
      </c>
      <c r="J10" s="253" t="str">
        <f>IF('B3_Allgemeine Angaben'!H52=0,"",'B3_Allgemeine Angaben'!H52)</f>
        <v/>
      </c>
      <c r="K10" s="240" t="s">
        <v>138</v>
      </c>
      <c r="L10" s="253" t="str">
        <f>IF('B3_Allgemeine Angaben'!K52=0,"",'B3_Allgemeine Angaben'!K52)</f>
        <v/>
      </c>
      <c r="M10" s="333" t="str">
        <f>IF(L12&lt;&gt;'B3_Allgemeine Angaben'!L47,"Prognose entspricht nicht Platzzahl!","")</f>
        <v/>
      </c>
      <c r="R10" s="18"/>
    </row>
    <row r="11" spans="1:18" ht="9.9499999999999993" customHeight="1" x14ac:dyDescent="0.2">
      <c r="A11" s="241"/>
      <c r="B11" s="241"/>
      <c r="C11" s="241"/>
      <c r="D11" s="241"/>
      <c r="E11" s="241"/>
      <c r="F11" s="242"/>
      <c r="G11" s="241"/>
      <c r="H11" s="243"/>
      <c r="I11" s="241"/>
      <c r="J11" s="241"/>
      <c r="K11" s="241"/>
      <c r="L11" s="241"/>
      <c r="R11" s="18"/>
    </row>
    <row r="12" spans="1:18" x14ac:dyDescent="0.2">
      <c r="A12" s="241"/>
      <c r="B12" s="235" t="s">
        <v>268</v>
      </c>
      <c r="C12" s="236"/>
      <c r="D12" s="236"/>
      <c r="E12" s="188" t="s">
        <v>281</v>
      </c>
      <c r="F12" s="234">
        <f>SUM(B14:F14)</f>
        <v>0</v>
      </c>
      <c r="G12" s="19"/>
      <c r="H12" s="235" t="s">
        <v>268</v>
      </c>
      <c r="I12" s="236"/>
      <c r="J12" s="236"/>
      <c r="K12" s="188" t="s">
        <v>281</v>
      </c>
      <c r="L12" s="188">
        <f>SUM(H14:L14)</f>
        <v>0</v>
      </c>
      <c r="M12" s="244"/>
      <c r="N12" s="245" t="s">
        <v>420</v>
      </c>
      <c r="O12" s="246"/>
      <c r="P12" s="247"/>
      <c r="R12" s="18"/>
    </row>
    <row r="13" spans="1:18" x14ac:dyDescent="0.2">
      <c r="A13" s="241"/>
      <c r="B13" s="237" t="s">
        <v>57</v>
      </c>
      <c r="C13" s="237" t="s">
        <v>58</v>
      </c>
      <c r="D13" s="237" t="s">
        <v>59</v>
      </c>
      <c r="E13" s="237" t="s">
        <v>60</v>
      </c>
      <c r="F13" s="238" t="s">
        <v>61</v>
      </c>
      <c r="G13" s="19"/>
      <c r="H13" s="237" t="s">
        <v>57</v>
      </c>
      <c r="I13" s="237" t="s">
        <v>58</v>
      </c>
      <c r="J13" s="237" t="s">
        <v>59</v>
      </c>
      <c r="K13" s="237" t="s">
        <v>60</v>
      </c>
      <c r="L13" s="237" t="s">
        <v>61</v>
      </c>
      <c r="N13" s="237" t="s">
        <v>57</v>
      </c>
      <c r="O13" s="237" t="s">
        <v>58</v>
      </c>
      <c r="P13" s="237" t="s">
        <v>59</v>
      </c>
      <c r="Q13" s="237" t="s">
        <v>60</v>
      </c>
      <c r="R13" s="237" t="s">
        <v>61</v>
      </c>
    </row>
    <row r="14" spans="1:18" x14ac:dyDescent="0.2">
      <c r="A14" s="241"/>
      <c r="B14" s="568"/>
      <c r="C14" s="568"/>
      <c r="D14" s="568"/>
      <c r="E14" s="568"/>
      <c r="F14" s="569"/>
      <c r="G14" s="19"/>
      <c r="H14" s="568"/>
      <c r="I14" s="568"/>
      <c r="J14" s="568"/>
      <c r="K14" s="568"/>
      <c r="L14" s="568"/>
      <c r="N14" s="706"/>
      <c r="O14" s="706"/>
      <c r="P14" s="706"/>
      <c r="Q14" s="706"/>
      <c r="R14" s="706"/>
    </row>
    <row r="15" spans="1:18" ht="18" customHeight="1" thickBot="1" x14ac:dyDescent="0.3">
      <c r="A15" s="241"/>
      <c r="G15" s="19"/>
      <c r="H15" s="19"/>
      <c r="I15" s="750" t="str">
        <f>IF(AND('B3_Allgemeine Angaben'!D7&lt;&gt;"vst",B3_Kalkulation!I14=0),"Belegung fehlt!","")</f>
        <v>Belegung fehlt!</v>
      </c>
      <c r="J15" s="751" t="str">
        <f>IF(AND('B3_Allgemeine Angaben'!D7&lt;&gt;"vst",B3_Kalkulation!J14=0),"Belegung fehlt!","")</f>
        <v>Belegung fehlt!</v>
      </c>
      <c r="K15" s="751" t="str">
        <f>IF(AND('B3_Allgemeine Angaben'!D7&lt;&gt;"vst",K14=0),"Belegung fehlt!","")</f>
        <v>Belegung fehlt!</v>
      </c>
      <c r="M15" s="228" t="s">
        <v>280</v>
      </c>
      <c r="O15" s="841" t="s">
        <v>499</v>
      </c>
      <c r="P15" s="841"/>
      <c r="Q15" s="841"/>
      <c r="R15" s="842"/>
    </row>
    <row r="16" spans="1:18" ht="15.75" thickBot="1" x14ac:dyDescent="0.3">
      <c r="A16" s="241"/>
      <c r="B16" s="228" t="s">
        <v>283</v>
      </c>
      <c r="C16" s="229" t="s">
        <v>267</v>
      </c>
      <c r="D16" s="230" t="s">
        <v>282</v>
      </c>
      <c r="E16" s="231" t="s">
        <v>312</v>
      </c>
      <c r="F16" s="723"/>
      <c r="H16" s="228" t="s">
        <v>283</v>
      </c>
      <c r="I16" s="229" t="s">
        <v>267</v>
      </c>
      <c r="J16" s="230" t="s">
        <v>282</v>
      </c>
      <c r="K16" s="775" t="s">
        <v>592</v>
      </c>
      <c r="L16" s="762" t="str">
        <f>KAT!L94</f>
        <v/>
      </c>
      <c r="M16" s="648"/>
      <c r="N16" s="788"/>
      <c r="O16" s="882" t="s">
        <v>500</v>
      </c>
      <c r="P16" s="883"/>
      <c r="Q16" s="883"/>
      <c r="R16" s="884"/>
    </row>
    <row r="17" spans="1:18" x14ac:dyDescent="0.2">
      <c r="A17" s="241"/>
      <c r="B17" s="226" t="s">
        <v>57</v>
      </c>
      <c r="C17" s="570"/>
      <c r="D17" s="321" t="str">
        <f>IFERROR(ROUND(B14/C17,3),"")</f>
        <v/>
      </c>
      <c r="G17" s="19"/>
      <c r="H17" s="226" t="s">
        <v>57</v>
      </c>
      <c r="I17" s="571"/>
      <c r="J17" s="321" t="str">
        <f>IFERROR(ROUND(H14/I17,3),"")</f>
        <v/>
      </c>
      <c r="L17" s="649" t="str">
        <f>IF(M16&lt;&gt;0,KAT!N94,"")</f>
        <v/>
      </c>
      <c r="M17" s="397"/>
      <c r="N17" s="789"/>
      <c r="O17" s="873"/>
      <c r="P17" s="874"/>
      <c r="Q17" s="874"/>
      <c r="R17" s="875"/>
    </row>
    <row r="18" spans="1:18" x14ac:dyDescent="0.2">
      <c r="A18" s="241"/>
      <c r="B18" s="226" t="s">
        <v>58</v>
      </c>
      <c r="C18" s="571"/>
      <c r="D18" s="321" t="str">
        <f>IFERROR(ROUND(C14/C18,3),"")</f>
        <v/>
      </c>
      <c r="G18" s="19"/>
      <c r="H18" s="226" t="s">
        <v>58</v>
      </c>
      <c r="I18" s="571"/>
      <c r="J18" s="321" t="str">
        <f>IFERROR(ROUND(I14/I18,3),"")</f>
        <v/>
      </c>
      <c r="M18" s="397"/>
      <c r="N18" s="397"/>
      <c r="O18" s="876"/>
      <c r="P18" s="877"/>
      <c r="Q18" s="877"/>
      <c r="R18" s="878"/>
    </row>
    <row r="19" spans="1:18" x14ac:dyDescent="0.2">
      <c r="A19" s="241"/>
      <c r="B19" s="226" t="s">
        <v>59</v>
      </c>
      <c r="C19" s="571"/>
      <c r="D19" s="321" t="str">
        <f>IFERROR(ROUND(D14/C19,3),"")</f>
        <v/>
      </c>
      <c r="G19" s="19"/>
      <c r="H19" s="226" t="s">
        <v>59</v>
      </c>
      <c r="I19" s="571"/>
      <c r="J19" s="321" t="str">
        <f>IFERROR(ROUND(J14/I19,3),"")</f>
        <v/>
      </c>
      <c r="K19" s="322"/>
      <c r="L19" s="322"/>
      <c r="M19" s="397"/>
      <c r="N19" s="397"/>
      <c r="O19" s="876"/>
      <c r="P19" s="877"/>
      <c r="Q19" s="877"/>
      <c r="R19" s="878"/>
    </row>
    <row r="20" spans="1:18" ht="15.75" thickBot="1" x14ac:dyDescent="0.3">
      <c r="A20" s="241"/>
      <c r="B20" s="226" t="s">
        <v>60</v>
      </c>
      <c r="C20" s="571"/>
      <c r="D20" s="211" t="str">
        <f>IFERROR(ROUND(E14/C20,3),"")</f>
        <v/>
      </c>
      <c r="E20" s="232" t="s">
        <v>275</v>
      </c>
      <c r="G20" s="19"/>
      <c r="H20" s="226" t="s">
        <v>60</v>
      </c>
      <c r="I20" s="571"/>
      <c r="J20" s="321" t="str">
        <f>IFERROR(ROUND(K14/I20,3),"")</f>
        <v/>
      </c>
      <c r="K20" s="753" t="s">
        <v>275</v>
      </c>
      <c r="L20" s="749"/>
      <c r="M20" s="845" t="s">
        <v>280</v>
      </c>
      <c r="N20" s="641"/>
      <c r="O20" s="876"/>
      <c r="P20" s="877"/>
      <c r="Q20" s="877"/>
      <c r="R20" s="878"/>
    </row>
    <row r="21" spans="1:18" ht="30.75" customHeight="1" x14ac:dyDescent="0.2">
      <c r="A21" s="241"/>
      <c r="B21" s="226" t="s">
        <v>61</v>
      </c>
      <c r="C21" s="571"/>
      <c r="D21" s="211" t="str">
        <f>IFERROR(ROUND(F14/C21,3),"")</f>
        <v/>
      </c>
      <c r="E21" s="233" t="s">
        <v>279</v>
      </c>
      <c r="F21" s="234" t="s">
        <v>286</v>
      </c>
      <c r="G21" s="292"/>
      <c r="H21" s="226" t="s">
        <v>61</v>
      </c>
      <c r="I21" s="571"/>
      <c r="J21" s="211" t="str">
        <f>IFERROR(ROUND(L14/I21,3),"")</f>
        <v/>
      </c>
      <c r="K21" s="254" t="s">
        <v>279</v>
      </c>
      <c r="L21" s="644" t="s">
        <v>286</v>
      </c>
      <c r="M21" s="846"/>
      <c r="N21" s="777"/>
      <c r="O21" s="879"/>
      <c r="P21" s="880"/>
      <c r="Q21" s="880"/>
      <c r="R21" s="881"/>
    </row>
    <row r="22" spans="1:18" ht="15.75" customHeight="1" x14ac:dyDescent="0.2">
      <c r="A22" s="241"/>
      <c r="B22" s="188" t="s">
        <v>347</v>
      </c>
      <c r="C22" s="225"/>
      <c r="D22" s="707"/>
      <c r="E22" s="233"/>
      <c r="F22" s="234"/>
      <c r="G22" s="292"/>
      <c r="H22" s="323" t="s">
        <v>347</v>
      </c>
      <c r="I22" s="324"/>
      <c r="J22" s="325" t="str">
        <f>IF('B3_Allgemeine Angaben'!L47=0,"",KAT!D62)</f>
        <v/>
      </c>
      <c r="K22" s="643"/>
      <c r="L22" s="645"/>
      <c r="M22" s="776" t="s">
        <v>498</v>
      </c>
      <c r="N22" s="778"/>
      <c r="O22" s="871" t="s">
        <v>501</v>
      </c>
      <c r="P22" s="843"/>
      <c r="Q22" s="843"/>
      <c r="R22" s="844"/>
    </row>
    <row r="23" spans="1:18" ht="29.25" customHeight="1" thickBot="1" x14ac:dyDescent="0.25">
      <c r="A23" s="241"/>
      <c r="B23" s="227" t="s">
        <v>269</v>
      </c>
      <c r="C23" s="572"/>
      <c r="D23" s="212">
        <f>SUM(D17:D22)</f>
        <v>0</v>
      </c>
      <c r="E23" s="213" t="s">
        <v>278</v>
      </c>
      <c r="F23" s="574"/>
      <c r="G23" s="293"/>
      <c r="H23" s="227" t="s">
        <v>269</v>
      </c>
      <c r="I23" s="572"/>
      <c r="J23" s="212">
        <f>IF('B3_Allgemeine Angaben'!D7&lt;&gt;"vst",SUM(J17:J21),SUM(J17:J22))</f>
        <v>0</v>
      </c>
      <c r="K23" s="213" t="s">
        <v>278</v>
      </c>
      <c r="L23" s="398">
        <f>IFERROR(ROUND(F23*(100+$M23*100)%,2),"")</f>
        <v>0</v>
      </c>
      <c r="M23" s="647"/>
      <c r="N23" s="709"/>
      <c r="O23" s="862"/>
      <c r="P23" s="863"/>
      <c r="Q23" s="863"/>
      <c r="R23" s="864"/>
    </row>
    <row r="24" spans="1:18" ht="15" customHeight="1" thickTop="1" x14ac:dyDescent="0.2">
      <c r="A24" s="241"/>
      <c r="B24" s="226" t="s">
        <v>270</v>
      </c>
      <c r="C24" s="571"/>
      <c r="D24" s="211">
        <f>IFERROR(ROUND($F$12/C24,3),0)</f>
        <v>0</v>
      </c>
      <c r="E24" s="213" t="str">
        <f t="shared" ref="E24:E27" si="0">B24</f>
        <v>Betreuung:</v>
      </c>
      <c r="F24" s="574"/>
      <c r="G24" s="293"/>
      <c r="H24" s="226" t="s">
        <v>270</v>
      </c>
      <c r="I24" s="571"/>
      <c r="J24" s="211">
        <f>IFERROR(ROUND($L$12/I24,3),0)</f>
        <v>0</v>
      </c>
      <c r="K24" s="213" t="str">
        <f t="shared" ref="K24:K27" si="1">H24</f>
        <v>Betreuung:</v>
      </c>
      <c r="L24" s="398">
        <f t="shared" ref="L24:L30" si="2">IFERROR(ROUND(F24*(100+M24*100)%,2),"")</f>
        <v>0</v>
      </c>
      <c r="M24" s="647"/>
      <c r="N24" s="397"/>
      <c r="O24" s="865"/>
      <c r="P24" s="866"/>
      <c r="Q24" s="866"/>
      <c r="R24" s="867"/>
    </row>
    <row r="25" spans="1:18" ht="14.25" customHeight="1" x14ac:dyDescent="0.2">
      <c r="A25" s="241"/>
      <c r="B25" s="226" t="s">
        <v>271</v>
      </c>
      <c r="C25" s="571"/>
      <c r="D25" s="211">
        <f>IFERROR(ROUND($F$12/C25,3),0)</f>
        <v>0</v>
      </c>
      <c r="E25" s="213" t="str">
        <f t="shared" si="0"/>
        <v>Leitung/Verwaltung:</v>
      </c>
      <c r="F25" s="574"/>
      <c r="G25" s="293"/>
      <c r="H25" s="226" t="s">
        <v>271</v>
      </c>
      <c r="I25" s="217">
        <f>C25</f>
        <v>0</v>
      </c>
      <c r="J25" s="211">
        <f t="shared" ref="J25:J28" si="3">IFERROR(ROUND($L$12/I25,3),0)</f>
        <v>0</v>
      </c>
      <c r="K25" s="213" t="str">
        <f t="shared" si="1"/>
        <v>Leitung/Verwaltung:</v>
      </c>
      <c r="L25" s="398">
        <f t="shared" si="2"/>
        <v>0</v>
      </c>
      <c r="M25" s="647"/>
      <c r="N25" s="397"/>
      <c r="O25" s="865"/>
      <c r="P25" s="866"/>
      <c r="Q25" s="866"/>
      <c r="R25" s="867"/>
    </row>
    <row r="26" spans="1:18" ht="14.25" customHeight="1" x14ac:dyDescent="0.2">
      <c r="A26" s="241"/>
      <c r="B26" s="226" t="s">
        <v>272</v>
      </c>
      <c r="C26" s="571"/>
      <c r="D26" s="211">
        <f>IFERROR(ROUND($F$12/C26,3),0)</f>
        <v>0</v>
      </c>
      <c r="E26" s="213" t="str">
        <f t="shared" si="0"/>
        <v>Hauswirtschaft:</v>
      </c>
      <c r="F26" s="574"/>
      <c r="G26" s="293"/>
      <c r="H26" s="226" t="s">
        <v>272</v>
      </c>
      <c r="I26" s="217">
        <f t="shared" ref="I26:I28" si="4">C26</f>
        <v>0</v>
      </c>
      <c r="J26" s="211">
        <f t="shared" si="3"/>
        <v>0</v>
      </c>
      <c r="K26" s="213" t="str">
        <f t="shared" si="1"/>
        <v>Hauswirtschaft:</v>
      </c>
      <c r="L26" s="398">
        <f t="shared" si="2"/>
        <v>0</v>
      </c>
      <c r="M26" s="647"/>
      <c r="N26" s="397"/>
      <c r="O26" s="865"/>
      <c r="P26" s="866"/>
      <c r="Q26" s="866"/>
      <c r="R26" s="867"/>
    </row>
    <row r="27" spans="1:18" ht="14.25" customHeight="1" x14ac:dyDescent="0.2">
      <c r="A27" s="241"/>
      <c r="B27" s="226" t="s">
        <v>273</v>
      </c>
      <c r="C27" s="571"/>
      <c r="D27" s="211">
        <f>IFERROR(ROUND($F$12/C27,3),0)</f>
        <v>0</v>
      </c>
      <c r="E27" s="213" t="str">
        <f t="shared" si="0"/>
        <v>Küche:</v>
      </c>
      <c r="F27" s="574"/>
      <c r="G27" s="293"/>
      <c r="H27" s="226" t="s">
        <v>273</v>
      </c>
      <c r="I27" s="217">
        <f t="shared" si="4"/>
        <v>0</v>
      </c>
      <c r="J27" s="211">
        <f t="shared" si="3"/>
        <v>0</v>
      </c>
      <c r="K27" s="213" t="str">
        <f t="shared" si="1"/>
        <v>Küche:</v>
      </c>
      <c r="L27" s="398">
        <f t="shared" si="2"/>
        <v>0</v>
      </c>
      <c r="M27" s="647"/>
      <c r="N27" s="397"/>
      <c r="O27" s="865"/>
      <c r="P27" s="866"/>
      <c r="Q27" s="866"/>
      <c r="R27" s="867"/>
    </row>
    <row r="28" spans="1:18" ht="14.25" customHeight="1" x14ac:dyDescent="0.2">
      <c r="A28" s="241"/>
      <c r="B28" s="226" t="s">
        <v>274</v>
      </c>
      <c r="C28" s="571"/>
      <c r="D28" s="211">
        <f>IFERROR(ROUND($F$12/C28,3),0)</f>
        <v>0</v>
      </c>
      <c r="E28" s="214" t="str">
        <f>B28</f>
        <v>Haustechnik:</v>
      </c>
      <c r="F28" s="574"/>
      <c r="G28" s="293"/>
      <c r="H28" s="226" t="s">
        <v>274</v>
      </c>
      <c r="I28" s="217">
        <f t="shared" si="4"/>
        <v>0</v>
      </c>
      <c r="J28" s="211">
        <f t="shared" si="3"/>
        <v>0</v>
      </c>
      <c r="K28" s="214" t="str">
        <f>H28</f>
        <v>Haustechnik:</v>
      </c>
      <c r="L28" s="398">
        <f t="shared" si="2"/>
        <v>0</v>
      </c>
      <c r="M28" s="647"/>
      <c r="N28" s="397"/>
      <c r="O28" s="865"/>
      <c r="P28" s="866"/>
      <c r="Q28" s="866"/>
      <c r="R28" s="867"/>
    </row>
    <row r="29" spans="1:18" ht="29.25" customHeight="1" x14ac:dyDescent="0.2">
      <c r="A29" s="241"/>
      <c r="B29" s="860" t="s">
        <v>285</v>
      </c>
      <c r="C29" s="861"/>
      <c r="D29" s="573"/>
      <c r="E29" s="214" t="str">
        <f>B29</f>
        <v>Freiwillige Dienste/ FSJ Einsatz:</v>
      </c>
      <c r="F29" s="574"/>
      <c r="G29" s="293"/>
      <c r="H29" s="860" t="s">
        <v>284</v>
      </c>
      <c r="I29" s="861"/>
      <c r="J29" s="573"/>
      <c r="K29" s="214" t="str">
        <f>H29</f>
        <v>Freiwillige Dienste/FSJ Einsatz:</v>
      </c>
      <c r="L29" s="399">
        <f t="shared" si="2"/>
        <v>0</v>
      </c>
      <c r="M29" s="648"/>
      <c r="N29" s="710"/>
      <c r="O29" s="865"/>
      <c r="P29" s="866"/>
      <c r="Q29" s="866"/>
      <c r="R29" s="867"/>
    </row>
    <row r="30" spans="1:18" ht="42.75" customHeight="1" x14ac:dyDescent="0.2">
      <c r="A30" s="241"/>
      <c r="B30" s="227" t="s">
        <v>469</v>
      </c>
      <c r="C30" s="217">
        <v>20</v>
      </c>
      <c r="D30" s="211">
        <f>$F$12/C30</f>
        <v>0</v>
      </c>
      <c r="E30" s="214" t="s">
        <v>276</v>
      </c>
      <c r="F30" s="574"/>
      <c r="G30" s="293"/>
      <c r="H30" s="227" t="s">
        <v>469</v>
      </c>
      <c r="I30" s="217">
        <v>20</v>
      </c>
      <c r="J30" s="218">
        <f>IFERROR(ROUND($L$12/I30,3),"")</f>
        <v>0</v>
      </c>
      <c r="K30" s="214" t="s">
        <v>276</v>
      </c>
      <c r="L30" s="398">
        <f t="shared" si="2"/>
        <v>0</v>
      </c>
      <c r="M30" s="648"/>
      <c r="N30" s="397"/>
      <c r="O30" s="868"/>
      <c r="P30" s="869"/>
      <c r="Q30" s="869"/>
      <c r="R30" s="870"/>
    </row>
    <row r="31" spans="1:18" ht="3" customHeight="1" x14ac:dyDescent="0.2">
      <c r="A31" s="241"/>
      <c r="B31" s="178"/>
      <c r="H31" s="19"/>
      <c r="M31" s="255"/>
      <c r="N31" s="711"/>
      <c r="R31" s="18"/>
    </row>
    <row r="32" spans="1:18" ht="15" x14ac:dyDescent="0.25">
      <c r="A32" s="239"/>
      <c r="B32" s="256" t="s">
        <v>95</v>
      </c>
      <c r="C32" s="257"/>
      <c r="D32" s="257"/>
      <c r="E32" s="257"/>
      <c r="F32" s="247"/>
      <c r="H32" s="284" t="s">
        <v>95</v>
      </c>
      <c r="I32" s="246"/>
      <c r="J32" s="246"/>
      <c r="K32" s="246"/>
      <c r="L32" s="247"/>
      <c r="M32" s="648"/>
      <c r="N32" s="60"/>
      <c r="O32" s="843" t="s">
        <v>502</v>
      </c>
      <c r="P32" s="843"/>
      <c r="Q32" s="843"/>
      <c r="R32" s="844"/>
    </row>
    <row r="33" spans="1:18" x14ac:dyDescent="0.2">
      <c r="A33" s="264"/>
      <c r="B33" s="258" t="s">
        <v>290</v>
      </c>
      <c r="C33" s="178" t="s">
        <v>38</v>
      </c>
      <c r="D33" s="170"/>
      <c r="E33" s="180"/>
      <c r="F33" s="575"/>
      <c r="G33" s="19"/>
      <c r="H33" s="650" t="s">
        <v>290</v>
      </c>
      <c r="I33" s="185" t="s">
        <v>38</v>
      </c>
      <c r="K33" s="18"/>
      <c r="L33" s="646">
        <f>IFERROR(ROUND(F33*(100+$M$32*100)%,2),"")</f>
        <v>0</v>
      </c>
      <c r="M33" s="651" t="str">
        <f>IFERROR(L33/B3_Gesamtkalkulation!$N$6,"")</f>
        <v/>
      </c>
      <c r="N33" s="710"/>
      <c r="O33" s="872"/>
      <c r="P33" s="872"/>
      <c r="Q33" s="872"/>
      <c r="R33" s="872"/>
    </row>
    <row r="34" spans="1:18" x14ac:dyDescent="0.2">
      <c r="A34" s="265"/>
      <c r="B34" s="259" t="s">
        <v>291</v>
      </c>
      <c r="C34" s="178" t="s">
        <v>287</v>
      </c>
      <c r="D34" s="170"/>
      <c r="E34" s="180"/>
      <c r="F34" s="575"/>
      <c r="G34" s="19"/>
      <c r="H34" s="261" t="s">
        <v>291</v>
      </c>
      <c r="I34" s="178" t="s">
        <v>287</v>
      </c>
      <c r="J34" s="170"/>
      <c r="K34" s="180"/>
      <c r="L34" s="646">
        <f t="shared" ref="L34:L41" si="5">IFERROR(ROUND(F34*(100+$M$32*100)%,2),"")</f>
        <v>0</v>
      </c>
      <c r="M34" s="651" t="str">
        <f>IFERROR(L34/B3_Gesamtkalkulation!$N$6,"")</f>
        <v/>
      </c>
      <c r="N34" s="710"/>
      <c r="O34" s="872"/>
      <c r="P34" s="872"/>
      <c r="Q34" s="872"/>
      <c r="R34" s="872"/>
    </row>
    <row r="35" spans="1:18" x14ac:dyDescent="0.2">
      <c r="A35" s="265"/>
      <c r="B35" s="259" t="s">
        <v>292</v>
      </c>
      <c r="C35" s="178" t="s">
        <v>288</v>
      </c>
      <c r="D35" s="170"/>
      <c r="E35" s="180"/>
      <c r="F35" s="575"/>
      <c r="G35" s="19"/>
      <c r="H35" s="262" t="s">
        <v>292</v>
      </c>
      <c r="I35" s="178" t="s">
        <v>288</v>
      </c>
      <c r="J35" s="170"/>
      <c r="K35" s="180"/>
      <c r="L35" s="646">
        <f t="shared" si="5"/>
        <v>0</v>
      </c>
      <c r="M35" s="651" t="str">
        <f>IFERROR(L35/B3_Gesamtkalkulation!$N$6,"")</f>
        <v/>
      </c>
      <c r="N35" s="710"/>
      <c r="O35" s="872"/>
      <c r="P35" s="872"/>
      <c r="Q35" s="872"/>
      <c r="R35" s="872"/>
    </row>
    <row r="36" spans="1:18" x14ac:dyDescent="0.2">
      <c r="A36" s="265"/>
      <c r="B36" s="260" t="s">
        <v>293</v>
      </c>
      <c r="C36" s="19" t="s">
        <v>43</v>
      </c>
      <c r="E36" s="18"/>
      <c r="F36" s="575"/>
      <c r="G36" s="19"/>
      <c r="H36" s="262" t="s">
        <v>293</v>
      </c>
      <c r="I36" s="178" t="s">
        <v>43</v>
      </c>
      <c r="J36" s="170"/>
      <c r="K36" s="180"/>
      <c r="L36" s="646">
        <f t="shared" si="5"/>
        <v>0</v>
      </c>
      <c r="M36" s="651" t="str">
        <f>IFERROR(L36/B3_Gesamtkalkulation!$N$6,"")</f>
        <v/>
      </c>
      <c r="N36" s="710"/>
      <c r="O36" s="872"/>
      <c r="P36" s="872"/>
      <c r="Q36" s="872"/>
      <c r="R36" s="872"/>
    </row>
    <row r="37" spans="1:18" x14ac:dyDescent="0.2">
      <c r="A37" s="265"/>
      <c r="B37" s="259" t="s">
        <v>294</v>
      </c>
      <c r="C37" s="178" t="s">
        <v>45</v>
      </c>
      <c r="D37" s="170"/>
      <c r="E37" s="180"/>
      <c r="F37" s="575"/>
      <c r="G37" s="19"/>
      <c r="H37" s="263" t="s">
        <v>294</v>
      </c>
      <c r="I37" s="19" t="s">
        <v>45</v>
      </c>
      <c r="K37" s="18"/>
      <c r="L37" s="646">
        <f t="shared" si="5"/>
        <v>0</v>
      </c>
      <c r="M37" s="651" t="str">
        <f>IFERROR(L37/B3_Gesamtkalkulation!$N$6,"")</f>
        <v/>
      </c>
      <c r="N37" s="710"/>
      <c r="O37" s="872"/>
      <c r="P37" s="872"/>
      <c r="Q37" s="872"/>
      <c r="R37" s="872"/>
    </row>
    <row r="38" spans="1:18" x14ac:dyDescent="0.2">
      <c r="A38" s="265"/>
      <c r="B38" s="260" t="s">
        <v>295</v>
      </c>
      <c r="C38" s="19" t="s">
        <v>47</v>
      </c>
      <c r="E38" s="18"/>
      <c r="F38" s="575"/>
      <c r="G38" s="19"/>
      <c r="H38" s="262" t="s">
        <v>295</v>
      </c>
      <c r="I38" s="178" t="s">
        <v>47</v>
      </c>
      <c r="J38" s="170"/>
      <c r="K38" s="180"/>
      <c r="L38" s="646">
        <f t="shared" si="5"/>
        <v>0</v>
      </c>
      <c r="M38" s="651" t="str">
        <f>IFERROR(L38/B3_Gesamtkalkulation!$N$6,"")</f>
        <v/>
      </c>
      <c r="N38" s="710"/>
      <c r="O38" s="872"/>
      <c r="P38" s="872"/>
      <c r="Q38" s="872"/>
      <c r="R38" s="872"/>
    </row>
    <row r="39" spans="1:18" x14ac:dyDescent="0.2">
      <c r="A39" s="265"/>
      <c r="B39" s="259" t="s">
        <v>296</v>
      </c>
      <c r="C39" s="178" t="s">
        <v>49</v>
      </c>
      <c r="D39" s="170"/>
      <c r="E39" s="180"/>
      <c r="F39" s="575"/>
      <c r="G39" s="19"/>
      <c r="H39" s="263" t="s">
        <v>296</v>
      </c>
      <c r="I39" s="19" t="s">
        <v>49</v>
      </c>
      <c r="K39" s="18"/>
      <c r="L39" s="646">
        <f t="shared" si="5"/>
        <v>0</v>
      </c>
      <c r="M39" s="651" t="str">
        <f>IFERROR(L39/B3_Gesamtkalkulation!$N$6,"")</f>
        <v/>
      </c>
      <c r="N39" s="710"/>
      <c r="O39" s="872"/>
      <c r="P39" s="872"/>
      <c r="Q39" s="872"/>
      <c r="R39" s="872"/>
    </row>
    <row r="40" spans="1:18" x14ac:dyDescent="0.2">
      <c r="A40" s="265"/>
      <c r="B40" s="260" t="s">
        <v>297</v>
      </c>
      <c r="C40" s="19" t="s">
        <v>51</v>
      </c>
      <c r="E40" s="18"/>
      <c r="F40" s="575"/>
      <c r="G40" s="19"/>
      <c r="H40" s="262" t="s">
        <v>297</v>
      </c>
      <c r="I40" s="178" t="s">
        <v>51</v>
      </c>
      <c r="J40" s="170"/>
      <c r="K40" s="180"/>
      <c r="L40" s="646">
        <f t="shared" si="5"/>
        <v>0</v>
      </c>
      <c r="M40" s="651" t="str">
        <f>IFERROR(L40/B3_Gesamtkalkulation!$N$6,"")</f>
        <v/>
      </c>
      <c r="N40" s="710"/>
      <c r="O40" s="872"/>
      <c r="P40" s="872"/>
      <c r="Q40" s="872"/>
      <c r="R40" s="872"/>
    </row>
    <row r="41" spans="1:18" x14ac:dyDescent="0.2">
      <c r="A41" s="265"/>
      <c r="B41" s="259" t="s">
        <v>298</v>
      </c>
      <c r="C41" s="178" t="s">
        <v>53</v>
      </c>
      <c r="D41" s="170"/>
      <c r="E41" s="180"/>
      <c r="F41" s="575"/>
      <c r="G41" s="19"/>
      <c r="H41" s="263" t="s">
        <v>298</v>
      </c>
      <c r="I41" s="19" t="s">
        <v>53</v>
      </c>
      <c r="K41" s="18"/>
      <c r="L41" s="646">
        <f t="shared" si="5"/>
        <v>0</v>
      </c>
      <c r="M41" s="651" t="str">
        <f>IFERROR(L41/B3_Gesamtkalkulation!$N$6,"")</f>
        <v/>
      </c>
      <c r="N41" s="710"/>
      <c r="O41" s="872"/>
      <c r="P41" s="872"/>
      <c r="Q41" s="872"/>
      <c r="R41" s="872"/>
    </row>
    <row r="42" spans="1:18" x14ac:dyDescent="0.2">
      <c r="A42" s="265"/>
      <c r="B42" s="260" t="s">
        <v>299</v>
      </c>
      <c r="C42" s="185" t="s">
        <v>55</v>
      </c>
      <c r="E42" s="18"/>
      <c r="F42" s="575"/>
      <c r="G42" s="19"/>
      <c r="H42" s="262" t="s">
        <v>299</v>
      </c>
      <c r="I42" s="178" t="s">
        <v>55</v>
      </c>
      <c r="J42" s="170"/>
      <c r="K42" s="180"/>
      <c r="L42" s="646">
        <f>IFERROR(ROUND(F42*(100+$M$32*100)%,2),"")</f>
        <v>0</v>
      </c>
      <c r="M42" s="651" t="str">
        <f>IFERROR(L42/B3_Gesamtkalkulation!$N$6,"")</f>
        <v/>
      </c>
      <c r="N42" s="710"/>
      <c r="O42" s="872"/>
      <c r="P42" s="872"/>
      <c r="Q42" s="872"/>
      <c r="R42" s="872"/>
    </row>
    <row r="43" spans="1:18" x14ac:dyDescent="0.2">
      <c r="A43" s="265"/>
      <c r="B43" s="178"/>
      <c r="C43" s="170" t="s">
        <v>289</v>
      </c>
      <c r="D43" s="170"/>
      <c r="E43" s="180"/>
      <c r="F43" s="220">
        <f>SUM(F33:F42)</f>
        <v>0</v>
      </c>
      <c r="G43" s="19"/>
      <c r="H43" s="185"/>
      <c r="I43" s="90" t="s">
        <v>289</v>
      </c>
      <c r="J43" s="90"/>
      <c r="K43" s="186"/>
      <c r="L43" s="216">
        <f>SUM(L33:L42)</f>
        <v>0</v>
      </c>
      <c r="M43" s="652">
        <f>SUM(M33:M42)</f>
        <v>0</v>
      </c>
      <c r="N43" s="710"/>
      <c r="O43" s="872"/>
      <c r="P43" s="872"/>
      <c r="Q43" s="872"/>
      <c r="R43" s="872"/>
    </row>
    <row r="44" spans="1:18" ht="3" customHeight="1" x14ac:dyDescent="0.2">
      <c r="A44" s="241"/>
      <c r="H44" s="19"/>
      <c r="R44" s="18"/>
    </row>
    <row r="45" spans="1:18" ht="15" x14ac:dyDescent="0.25">
      <c r="A45" s="241"/>
      <c r="B45" s="284" t="s">
        <v>300</v>
      </c>
      <c r="C45" s="246"/>
      <c r="D45" s="246"/>
      <c r="E45" s="246"/>
      <c r="F45" s="247"/>
      <c r="H45" s="284" t="s">
        <v>300</v>
      </c>
      <c r="I45" s="246"/>
      <c r="J45" s="246"/>
      <c r="K45" s="246"/>
      <c r="L45" s="247"/>
      <c r="M45" s="648"/>
      <c r="O45" s="843" t="s">
        <v>503</v>
      </c>
      <c r="P45" s="843"/>
      <c r="Q45" s="843"/>
      <c r="R45" s="844"/>
    </row>
    <row r="46" spans="1:18" x14ac:dyDescent="0.2">
      <c r="A46" s="266"/>
      <c r="B46" s="285" t="s">
        <v>302</v>
      </c>
      <c r="C46" t="s">
        <v>32</v>
      </c>
      <c r="E46" s="18"/>
      <c r="F46" s="576"/>
      <c r="G46" s="19"/>
      <c r="H46" s="285" t="s">
        <v>302</v>
      </c>
      <c r="I46" t="s">
        <v>32</v>
      </c>
      <c r="K46" s="289"/>
      <c r="L46" s="215">
        <f>IFERROR(ROUND(F46*(100+$M$45*100)%,2),"")</f>
        <v>0</v>
      </c>
      <c r="M46" s="651" t="str">
        <f>IFERROR(L46/B3_Gesamtkalkulation!$N$6,"")</f>
        <v/>
      </c>
      <c r="N46" s="710"/>
      <c r="O46" s="872"/>
      <c r="P46" s="872"/>
      <c r="Q46" s="872"/>
      <c r="R46" s="872"/>
    </row>
    <row r="47" spans="1:18" x14ac:dyDescent="0.2">
      <c r="A47" s="266"/>
      <c r="B47" s="286" t="s">
        <v>303</v>
      </c>
      <c r="C47" s="170" t="s">
        <v>34</v>
      </c>
      <c r="D47" s="170"/>
      <c r="E47" s="180"/>
      <c r="F47" s="210"/>
      <c r="G47" s="19"/>
      <c r="H47" s="286" t="s">
        <v>303</v>
      </c>
      <c r="I47" s="170" t="s">
        <v>34</v>
      </c>
      <c r="J47" s="170"/>
      <c r="K47" s="287"/>
      <c r="L47" s="215">
        <f>IFERROR(ROUND(F47*(100+$M$45*100)%,2),"")</f>
        <v>0</v>
      </c>
      <c r="M47" s="651" t="str">
        <f>IFERROR(L47/B3_Gesamtkalkulation!$N$6,"")</f>
        <v/>
      </c>
      <c r="N47" s="710"/>
      <c r="O47" s="872"/>
      <c r="P47" s="872"/>
      <c r="Q47" s="872"/>
      <c r="R47" s="872"/>
    </row>
    <row r="48" spans="1:18" x14ac:dyDescent="0.2">
      <c r="A48" s="266"/>
      <c r="B48" s="286" t="s">
        <v>304</v>
      </c>
      <c r="C48" s="170" t="s">
        <v>358</v>
      </c>
      <c r="D48" s="170"/>
      <c r="E48" s="180"/>
      <c r="F48" s="708"/>
      <c r="G48" s="19"/>
      <c r="H48" s="288" t="s">
        <v>304</v>
      </c>
      <c r="I48" s="178" t="s">
        <v>358</v>
      </c>
      <c r="K48" s="289"/>
      <c r="L48" s="215">
        <f>IFERROR(IF('B3_Allgemeine Angaben'!D7&lt;&gt;"vst",0,ROUND(F48*(100+$L$45*100)%,2)),"")</f>
        <v>0</v>
      </c>
      <c r="M48" s="653" t="str">
        <f>IFERROR(L48/B3_Gesamtkalkulation!$N$6,"")</f>
        <v/>
      </c>
      <c r="N48" s="710"/>
      <c r="O48" s="872"/>
      <c r="P48" s="872"/>
      <c r="Q48" s="872"/>
      <c r="R48" s="872"/>
    </row>
    <row r="49" spans="1:18" x14ac:dyDescent="0.2">
      <c r="A49" s="266"/>
      <c r="B49" s="286" t="s">
        <v>305</v>
      </c>
      <c r="C49" t="s">
        <v>35</v>
      </c>
      <c r="D49" s="170"/>
      <c r="E49" s="180"/>
      <c r="F49" s="210"/>
      <c r="G49" s="19"/>
      <c r="H49" s="286" t="s">
        <v>305</v>
      </c>
      <c r="I49" t="s">
        <v>35</v>
      </c>
      <c r="J49" s="170"/>
      <c r="K49" s="287"/>
      <c r="L49" s="215">
        <f>IFERROR(ROUND(F49*(100+$M$45*100)%,2),"")</f>
        <v>0</v>
      </c>
      <c r="M49" s="651" t="str">
        <f>IFERROR(L49/B3_Gesamtkalkulation!$N$6,"")</f>
        <v/>
      </c>
      <c r="N49" s="710"/>
      <c r="O49" s="872"/>
      <c r="P49" s="872"/>
      <c r="Q49" s="872"/>
      <c r="R49" s="872"/>
    </row>
    <row r="50" spans="1:18" x14ac:dyDescent="0.2">
      <c r="A50" s="266"/>
      <c r="B50" s="285" t="s">
        <v>306</v>
      </c>
      <c r="C50" s="170" t="s">
        <v>36</v>
      </c>
      <c r="E50" s="18"/>
      <c r="F50" s="210"/>
      <c r="G50" s="19"/>
      <c r="H50" s="285" t="s">
        <v>306</v>
      </c>
      <c r="I50" s="170" t="s">
        <v>36</v>
      </c>
      <c r="K50" s="289"/>
      <c r="L50" s="215">
        <f t="shared" ref="L50:L52" si="6">IFERROR(ROUND(F50*(100+$M$45*100)%,2),"")</f>
        <v>0</v>
      </c>
      <c r="M50" s="651" t="str">
        <f>IFERROR(L50/B3_Gesamtkalkulation!$N$6,"")</f>
        <v/>
      </c>
      <c r="N50" s="710"/>
      <c r="O50" s="872"/>
      <c r="P50" s="872"/>
      <c r="Q50" s="872"/>
      <c r="R50" s="872"/>
    </row>
    <row r="51" spans="1:18" x14ac:dyDescent="0.2">
      <c r="A51" s="266"/>
      <c r="B51" s="286" t="s">
        <v>307</v>
      </c>
      <c r="C51" t="s">
        <v>33</v>
      </c>
      <c r="D51" s="170"/>
      <c r="E51" s="180"/>
      <c r="F51" s="210"/>
      <c r="G51" s="19"/>
      <c r="H51" s="286" t="s">
        <v>307</v>
      </c>
      <c r="I51" t="s">
        <v>33</v>
      </c>
      <c r="J51" s="170"/>
      <c r="K51" s="287"/>
      <c r="L51" s="215">
        <f t="shared" si="6"/>
        <v>0</v>
      </c>
      <c r="M51" s="651" t="str">
        <f>IFERROR(L51/B3_Gesamtkalkulation!$N$6,"")</f>
        <v/>
      </c>
      <c r="N51" s="710"/>
      <c r="O51" s="872"/>
      <c r="P51" s="872"/>
      <c r="Q51" s="872"/>
      <c r="R51" s="872"/>
    </row>
    <row r="52" spans="1:18" x14ac:dyDescent="0.2">
      <c r="A52" s="266"/>
      <c r="B52" s="285" t="s">
        <v>308</v>
      </c>
      <c r="C52" s="170" t="s">
        <v>301</v>
      </c>
      <c r="E52" s="18"/>
      <c r="F52" s="210"/>
      <c r="G52" s="19"/>
      <c r="H52" s="285" t="s">
        <v>308</v>
      </c>
      <c r="I52" s="170" t="s">
        <v>301</v>
      </c>
      <c r="K52" s="289"/>
      <c r="L52" s="215">
        <f t="shared" si="6"/>
        <v>0</v>
      </c>
      <c r="M52" s="651" t="str">
        <f>IFERROR(L52/B3_Gesamtkalkulation!$N$6,"")</f>
        <v/>
      </c>
      <c r="N52" s="710"/>
      <c r="O52" s="872"/>
      <c r="P52" s="872"/>
      <c r="Q52" s="872"/>
      <c r="R52" s="872"/>
    </row>
    <row r="53" spans="1:18" x14ac:dyDescent="0.2">
      <c r="A53" s="265"/>
      <c r="B53" s="176"/>
      <c r="C53" s="170" t="s">
        <v>289</v>
      </c>
      <c r="D53" s="170"/>
      <c r="E53" s="180"/>
      <c r="F53" s="219">
        <f>IF('B3_Allgemeine Angaben'!D7&lt;&gt;"vst",SUM(B3_Kalkulation!F46:F47,B3_Kalkulation!F49:F52),SUM(F46:F52))</f>
        <v>0</v>
      </c>
      <c r="G53" s="185"/>
      <c r="H53" s="178"/>
      <c r="I53" s="178" t="s">
        <v>289</v>
      </c>
      <c r="J53" s="170"/>
      <c r="K53" s="180"/>
      <c r="L53" s="216">
        <f>SUM(L46:L52)</f>
        <v>0</v>
      </c>
      <c r="M53" s="652">
        <f>SUM(M46:M52)</f>
        <v>0</v>
      </c>
      <c r="N53" s="710"/>
      <c r="O53" s="872"/>
      <c r="P53" s="872"/>
      <c r="Q53" s="872"/>
      <c r="R53" s="872"/>
    </row>
    <row r="54" spans="1:18" ht="9" customHeight="1" thickBot="1" x14ac:dyDescent="0.25">
      <c r="A54" s="18"/>
      <c r="F54" s="20"/>
      <c r="R54" s="169"/>
    </row>
    <row r="55" spans="1:18" s="267" customFormat="1" ht="15" x14ac:dyDescent="0.25">
      <c r="B55" s="281" t="s">
        <v>309</v>
      </c>
      <c r="C55" s="282"/>
      <c r="D55" s="282"/>
      <c r="E55" s="282"/>
      <c r="F55" s="283"/>
      <c r="G55"/>
      <c r="H55" s="275"/>
      <c r="I55" s="857" t="s">
        <v>313</v>
      </c>
      <c r="J55" s="858"/>
      <c r="K55" s="859"/>
      <c r="L55" s="290"/>
      <c r="R55" s="273"/>
    </row>
    <row r="56" spans="1:18" s="267" customFormat="1" ht="27" customHeight="1" x14ac:dyDescent="0.2">
      <c r="B56" s="276" t="s">
        <v>57</v>
      </c>
      <c r="C56" s="278" t="s">
        <v>58</v>
      </c>
      <c r="D56" s="278" t="s">
        <v>59</v>
      </c>
      <c r="E56" s="278" t="s">
        <v>60</v>
      </c>
      <c r="F56" s="279" t="s">
        <v>61</v>
      </c>
      <c r="G56" s="224"/>
      <c r="H56" s="276" t="s">
        <v>316</v>
      </c>
      <c r="I56" s="278" t="s">
        <v>310</v>
      </c>
      <c r="J56" s="278" t="s">
        <v>102</v>
      </c>
      <c r="K56" s="279" t="s">
        <v>311</v>
      </c>
      <c r="L56" s="791" t="str">
        <f>IF(KAT!J94=1,"Fahrtkosten - Beförderung intern","Fahrtkosten - Beförderung extern")</f>
        <v>Fahrtkosten - Beförderung extern</v>
      </c>
      <c r="M56" s="274"/>
      <c r="R56" s="273"/>
    </row>
    <row r="57" spans="1:18" ht="15" thickBot="1" x14ac:dyDescent="0.25">
      <c r="B57" s="221">
        <f>B3_Gesamtkalkulation!H51</f>
        <v>0</v>
      </c>
      <c r="C57" s="222">
        <f>B3_Gesamtkalkulation!J51</f>
        <v>0</v>
      </c>
      <c r="D57" s="222">
        <f>B3_Gesamtkalkulation!L51</f>
        <v>0</v>
      </c>
      <c r="E57" s="222">
        <f>B3_Gesamtkalkulation!N51</f>
        <v>0</v>
      </c>
      <c r="F57" s="223">
        <f>B3_Gesamtkalkulation!P51</f>
        <v>0</v>
      </c>
      <c r="G57" s="224"/>
      <c r="H57" s="221" t="str">
        <f>B3_Gesamtkalkulation!J49</f>
        <v/>
      </c>
      <c r="I57" s="222">
        <f>IFERROR(B3_Gesamtkalkulation!R51,0)</f>
        <v>0</v>
      </c>
      <c r="J57" s="222">
        <f>IFERROR(B3_Gesamtkalkulation!T51,0)</f>
        <v>0</v>
      </c>
      <c r="K57" s="223">
        <f>IFERROR(B3_Gesamtkalkulation!V51,0)</f>
        <v>0</v>
      </c>
      <c r="L57" s="223" t="str">
        <f>L16</f>
        <v/>
      </c>
      <c r="R57" s="18"/>
    </row>
    <row r="58" spans="1:18" s="268" customFormat="1" ht="5.0999999999999996" customHeight="1" thickBot="1" x14ac:dyDescent="0.25">
      <c r="B58" s="294"/>
      <c r="C58" s="295"/>
      <c r="D58" s="295"/>
      <c r="E58" s="295"/>
      <c r="F58" s="295"/>
      <c r="G58" s="224"/>
      <c r="H58" s="295"/>
      <c r="I58" s="277"/>
      <c r="J58" s="277"/>
      <c r="K58" s="277"/>
      <c r="R58" s="269"/>
    </row>
    <row r="59" spans="1:18" x14ac:dyDescent="0.2">
      <c r="B59" s="854" t="s">
        <v>418</v>
      </c>
      <c r="C59" s="855"/>
      <c r="D59" s="855"/>
      <c r="E59" s="855"/>
      <c r="F59" s="856"/>
      <c r="G59" s="224"/>
      <c r="H59" s="277"/>
      <c r="I59" s="850" t="s">
        <v>419</v>
      </c>
      <c r="J59" s="851"/>
      <c r="K59" s="852"/>
      <c r="L59" s="268"/>
      <c r="R59" s="18"/>
    </row>
    <row r="60" spans="1:18" x14ac:dyDescent="0.2">
      <c r="B60" s="278" t="s">
        <v>57</v>
      </c>
      <c r="C60" s="278" t="s">
        <v>58</v>
      </c>
      <c r="D60" s="278" t="s">
        <v>59</v>
      </c>
      <c r="E60" s="278" t="s">
        <v>60</v>
      </c>
      <c r="F60" s="279" t="s">
        <v>61</v>
      </c>
      <c r="G60" s="224"/>
      <c r="H60" s="277"/>
      <c r="I60" s="276" t="s">
        <v>310</v>
      </c>
      <c r="J60" s="278" t="s">
        <v>102</v>
      </c>
      <c r="K60" s="279" t="s">
        <v>311</v>
      </c>
      <c r="L60" s="268"/>
      <c r="R60" s="18"/>
    </row>
    <row r="61" spans="1:18" ht="15" thickBot="1" x14ac:dyDescent="0.25">
      <c r="B61" s="222">
        <f>IFERROR(B3_Gesamtkalkulation!H53,0)</f>
        <v>0</v>
      </c>
      <c r="C61" s="222" t="str">
        <f>IFERROR(B3_Gesamtkalkulation!J53,0)</f>
        <v/>
      </c>
      <c r="D61" s="222" t="str">
        <f>IFERROR(B3_Gesamtkalkulation!L53,0)</f>
        <v/>
      </c>
      <c r="E61" s="222" t="str">
        <f>IFERROR(B3_Gesamtkalkulation!N53,0)</f>
        <v/>
      </c>
      <c r="F61" s="223" t="str">
        <f>IFERROR(B3_Gesamtkalkulation!P53,0)</f>
        <v/>
      </c>
      <c r="G61" s="224"/>
      <c r="H61" s="277"/>
      <c r="I61" s="221" t="str">
        <f>IFERROR(B3_Gesamtkalkulation!R53,0)</f>
        <v/>
      </c>
      <c r="J61" s="222" t="str">
        <f>IFERROR(B3_Gesamtkalkulation!T53,0)</f>
        <v/>
      </c>
      <c r="K61" s="223" t="str">
        <f>IFERROR(B3_Gesamtkalkulation!V53,0)</f>
        <v/>
      </c>
      <c r="L61" s="268"/>
      <c r="R61" s="18"/>
    </row>
    <row r="62" spans="1:18" ht="7.5" customHeight="1" x14ac:dyDescent="0.2">
      <c r="A62" s="18"/>
      <c r="R62" s="18"/>
    </row>
    <row r="63" spans="1:18" ht="15" x14ac:dyDescent="0.25">
      <c r="A63" s="18"/>
      <c r="B63" s="280" t="s">
        <v>68</v>
      </c>
      <c r="R63" s="18"/>
    </row>
    <row r="64" spans="1:18" s="268" customFormat="1" x14ac:dyDescent="0.2">
      <c r="A64" s="269"/>
      <c r="B64" s="90"/>
      <c r="C64" s="296"/>
      <c r="H64" s="90"/>
      <c r="I64" s="296"/>
      <c r="J64" s="296"/>
      <c r="K64" s="296"/>
      <c r="L64" s="296"/>
      <c r="R64" s="269"/>
    </row>
    <row r="65" spans="1:18" x14ac:dyDescent="0.2">
      <c r="A65" s="18"/>
      <c r="B65" t="s">
        <v>314</v>
      </c>
      <c r="H65" t="s">
        <v>315</v>
      </c>
      <c r="R65" s="18"/>
    </row>
    <row r="66" spans="1:18" s="298" customFormat="1" ht="12" x14ac:dyDescent="0.2">
      <c r="A66" s="270"/>
      <c r="B66" s="271"/>
      <c r="C66" s="271"/>
      <c r="D66" s="271"/>
      <c r="E66" s="271"/>
      <c r="F66" s="271"/>
      <c r="G66" s="271"/>
      <c r="H66" s="271"/>
      <c r="I66" s="271"/>
      <c r="J66" s="271"/>
      <c r="K66" s="271"/>
      <c r="L66" s="271"/>
      <c r="M66" s="271"/>
      <c r="N66" s="271"/>
      <c r="O66" s="271"/>
      <c r="P66" s="271"/>
      <c r="Q66" s="271"/>
      <c r="R66" s="272"/>
    </row>
    <row r="67" spans="1:18" ht="15" thickBot="1" x14ac:dyDescent="0.25"/>
    <row r="68" spans="1:18" ht="15" thickBot="1" x14ac:dyDescent="0.25">
      <c r="H68" s="847" t="s">
        <v>655</v>
      </c>
      <c r="I68" s="848"/>
      <c r="J68" s="848"/>
      <c r="K68" s="848"/>
      <c r="L68" s="848"/>
      <c r="M68" s="848"/>
      <c r="N68" s="849"/>
    </row>
  </sheetData>
  <sheetProtection algorithmName="SHA-512" hashValue="hPGXQj28kQhwDxQ9chzp3T/FR2TzNCUZXbypCAct1WX7C9xvvB8eZNprHJRd0NqP7ShnwAzPBps8X/gDdnU2Ng==" saltValue="xGW1R60UKAXT2avK9c2dVw==" spinCount="100000" sheet="1" selectLockedCells="1"/>
  <mergeCells count="18">
    <mergeCell ref="A1:P1"/>
    <mergeCell ref="A2:P2"/>
    <mergeCell ref="B59:F59"/>
    <mergeCell ref="I55:K55"/>
    <mergeCell ref="B29:C29"/>
    <mergeCell ref="H29:I29"/>
    <mergeCell ref="O23:R30"/>
    <mergeCell ref="O22:R22"/>
    <mergeCell ref="O46:R53"/>
    <mergeCell ref="O33:R43"/>
    <mergeCell ref="O17:R21"/>
    <mergeCell ref="O16:R16"/>
    <mergeCell ref="O15:R15"/>
    <mergeCell ref="O32:R32"/>
    <mergeCell ref="M20:M21"/>
    <mergeCell ref="O45:R45"/>
    <mergeCell ref="H68:N68"/>
    <mergeCell ref="I59:K59"/>
  </mergeCells>
  <conditionalFormatting sqref="M22:N22">
    <cfRule type="expression" dxfId="37" priority="4">
      <formula>$N$21="nein"</formula>
    </cfRule>
  </conditionalFormatting>
  <dataValidations count="7">
    <dataValidation type="whole" allowBlank="1" showInputMessage="1" showErrorMessage="1" error="ganze Zahlen_x000a_ab 73 bis 100_x000a_je nach Einrichtungsart" promptTitle="je nach Einrichtungsart:" prompt="teistationär: 85% bis 100%_x000a_Kurzzeitpflege: siehe &quot;Hinweise&quot;_x000a_73% bis 100%" sqref="D6" xr:uid="{00000000-0002-0000-0300-000000000000}">
      <formula1>73</formula1>
      <formula2>100</formula2>
    </dataValidation>
    <dataValidation type="list" allowBlank="1" showInputMessage="1" showErrorMessage="1" promptTitle="je nach Einrichtungsart wählen" prompt="KZP: 365 Tage/Jahr_x000a_teilstationär: Mo-Fr. 250 Tage/Jahr_x000a_teilstationär: Mo-Sa 312 Tage/Jahr_x000a_teilstationär: Mo-So 365 Tage/Jahr" sqref="I6" xr:uid="{00000000-0002-0000-0300-000001000000}">
      <formula1>"250,312,365"</formula1>
    </dataValidation>
    <dataValidation allowBlank="1" showErrorMessage="1" sqref="L16" xr:uid="{00000000-0002-0000-0300-000003000000}"/>
    <dataValidation operator="lessThan" allowBlank="1" showInputMessage="1" showErrorMessage="1" error="Forderung liegt über max. Wert (17,00 €)" sqref="L17" xr:uid="{00000000-0002-0000-0300-000004000000}"/>
    <dataValidation type="custom" allowBlank="1" showInputMessage="1" showErrorMessage="1" error="Forderung liegt über max. Steigerungsrate (10,00%)." promptTitle="Steigerung max. bis 10% möglich." sqref="M30 M23:M28" xr:uid="{C58D3506-EDFC-4E25-AFBE-3C2113884926}">
      <formula1>M23&lt;10.0001%</formula1>
    </dataValidation>
    <dataValidation type="custom" allowBlank="1" showInputMessage="1" showErrorMessage="1" error="Forderung liegt über max. Steigerungsrate (5,00%)." promptTitle="Steigerung max. bis 5% möglich." sqref="M29" xr:uid="{C094A893-95EF-4C86-A88D-9E1FA095F038}">
      <formula1>M29&lt;5.0001%</formula1>
    </dataValidation>
    <dataValidation type="custom" allowBlank="1" showInputMessage="1" showErrorMessage="1" errorTitle="Eingabewert" error="liegt über max. Betrag (3.000 €/VK)." promptTitle="Eingabe max. 3.000 €/VK möglich." sqref="N22" xr:uid="{6CC09A01-B286-44EF-A4F3-B5B4B78B84FF}">
      <formula1>N22&lt;3000.01</formula1>
    </dataValidation>
  </dataValidations>
  <hyperlinks>
    <hyperlink ref="H68" location="'Anlage 1'!A1" display="Anlage 1" xr:uid="{00000000-0004-0000-0300-000000000000}"/>
    <hyperlink ref="H68:N68" location="B3_Gesamtkalkulation!A1" display="gehe weiter zu B3_Gesamtkalkulation" xr:uid="{00000000-0004-0000-0300-000001000000}"/>
  </hyperlinks>
  <pageMargins left="0.39370078740157483" right="0.39370078740157483" top="0.78740157480314965" bottom="0.78740157480314965" header="0.31496062992125984" footer="0.31496062992125984"/>
  <pageSetup paperSize="9" scale="45" orientation="landscape"/>
  <headerFooter>
    <oddHeader>&amp;C&amp;9Seite 2</oddHeader>
    <oddFooter>&amp;LVersion: 22.11.2024&amp;CVerhandlungsunterlagen SGB XI (B3 vereinfacht)</oddFooter>
  </headerFooter>
  <extLst>
    <ext xmlns:x14="http://schemas.microsoft.com/office/spreadsheetml/2009/9/main" uri="{78C0D931-6437-407d-A8EE-F0AAD7539E65}">
      <x14:conditionalFormattings>
        <x14:conditionalFormatting xmlns:xm="http://schemas.microsoft.com/office/excel/2006/main">
          <x14:cfRule type="expression" priority="37" id="{A21501EE-BCA5-41D9-B4F3-2002CB5EFB90}">
            <xm:f>'B3_Allgemeine Angaben'!$L$48=0</xm:f>
            <x14:dxf>
              <font>
                <color theme="0"/>
              </font>
              <fill>
                <patternFill>
                  <bgColor theme="0"/>
                </patternFill>
              </fill>
              <border>
                <left style="thin">
                  <color auto="1"/>
                </left>
                <right/>
                <top/>
                <bottom/>
                <vertical/>
                <horizontal/>
              </border>
            </x14:dxf>
          </x14:cfRule>
          <xm:sqref>B60:B61</xm:sqref>
        </x14:conditionalFormatting>
        <x14:conditionalFormatting xmlns:xm="http://schemas.microsoft.com/office/excel/2006/main">
          <x14:cfRule type="expression" priority="7" id="{2E690C5C-374D-431C-B0F9-8B60F1DBF46A}">
            <xm:f>'B3_Allgemeine Angaben'!$D$7&lt;&gt;"kzp"</xm:f>
            <x14:dxf>
              <font>
                <color theme="0" tint="-0.14996795556505021"/>
              </font>
              <fill>
                <patternFill>
                  <bgColor theme="0" tint="-0.24994659260841701"/>
                </patternFill>
              </fill>
              <border>
                <left/>
                <top/>
                <bottom/>
                <vertical/>
                <horizontal/>
              </border>
            </x14:dxf>
          </x14:cfRule>
          <xm:sqref>B7:C7</xm:sqref>
        </x14:conditionalFormatting>
        <x14:conditionalFormatting xmlns:xm="http://schemas.microsoft.com/office/excel/2006/main">
          <x14:cfRule type="expression" priority="11" id="{BF353730-72EE-4C6A-9C39-84208F488C9E}">
            <xm:f>'B3_Allgemeine Angaben'!$D$7&lt;&gt;"vst"</xm:f>
            <x14:dxf>
              <font>
                <color theme="0"/>
              </font>
              <fill>
                <patternFill>
                  <bgColor theme="0" tint="-0.14996795556505021"/>
                </patternFill>
              </fill>
            </x14:dxf>
          </x14:cfRule>
          <xm:sqref>B22:D22</xm:sqref>
        </x14:conditionalFormatting>
        <x14:conditionalFormatting xmlns:xm="http://schemas.microsoft.com/office/excel/2006/main">
          <x14:cfRule type="expression" priority="17" id="{10138DDA-0113-4BF7-B442-64C624BBE027}">
            <xm:f>'B3_Allgemeine Angaben'!$D$7&lt;&gt;"vst"</xm:f>
            <x14:dxf>
              <font>
                <color theme="0" tint="-0.24994659260841701"/>
              </font>
              <fill>
                <patternFill>
                  <bgColor theme="0" tint="-0.24994659260841701"/>
                </patternFill>
              </fill>
            </x14:dxf>
          </x14:cfRule>
          <xm:sqref>B48:F48</xm:sqref>
        </x14:conditionalFormatting>
        <x14:conditionalFormatting xmlns:xm="http://schemas.microsoft.com/office/excel/2006/main">
          <x14:cfRule type="expression" priority="39" id="{86A9EC2E-0278-481E-ACC5-0B6D9E1B776A}">
            <xm:f>'B3_Allgemeine Angaben'!$L$48=0</xm:f>
            <x14:dxf>
              <font>
                <color theme="0"/>
              </font>
              <fill>
                <patternFill>
                  <fgColor theme="0"/>
                  <bgColor theme="0"/>
                </patternFill>
              </fill>
              <border>
                <left/>
                <right/>
                <top/>
                <bottom/>
                <vertical/>
                <horizontal/>
              </border>
            </x14:dxf>
          </x14:cfRule>
          <xm:sqref>C60:E61</xm:sqref>
        </x14:conditionalFormatting>
        <x14:conditionalFormatting xmlns:xm="http://schemas.microsoft.com/office/excel/2006/main">
          <x14:cfRule type="expression" priority="6" id="{0B641222-49D1-447D-816C-CBEC46171F76}">
            <xm:f>'B3_Allgemeine Angaben'!$D$7&lt;&gt;"kzp"</xm:f>
            <x14:dxf>
              <font>
                <color theme="0" tint="-0.14996795556505021"/>
              </font>
              <fill>
                <patternFill>
                  <bgColor theme="0" tint="-0.24994659260841701"/>
                </patternFill>
              </fill>
              <border>
                <left/>
                <right/>
                <top style="thin">
                  <color auto="1"/>
                </top>
                <bottom/>
                <vertical/>
                <horizontal/>
              </border>
            </x14:dxf>
          </x14:cfRule>
          <xm:sqref>D7</xm:sqref>
        </x14:conditionalFormatting>
        <x14:conditionalFormatting xmlns:xm="http://schemas.microsoft.com/office/excel/2006/main">
          <x14:cfRule type="expression" priority="30" id="{7EED9CB8-E343-4D34-A76E-0D149CBE2CEA}">
            <xm:f>'B3_Allgemeine Angaben'!$D$7&lt;&gt;"tst"</xm:f>
            <x14:dxf>
              <font>
                <color theme="0"/>
              </font>
              <fill>
                <patternFill>
                  <fgColor theme="0"/>
                  <bgColor theme="0"/>
                </patternFill>
              </fill>
              <border>
                <left style="thin">
                  <color auto="1"/>
                </left>
                <right/>
                <top/>
                <bottom/>
                <vertical/>
                <horizontal/>
              </border>
            </x14:dxf>
          </x14:cfRule>
          <xm:sqref>E16</xm:sqref>
        </x14:conditionalFormatting>
        <x14:conditionalFormatting xmlns:xm="http://schemas.microsoft.com/office/excel/2006/main">
          <x14:cfRule type="expression" priority="5" id="{1B74742C-3DBE-4578-9ACD-761B033BF356}">
            <xm:f>'B3_Allgemeine Angaben'!$D$7&lt;&gt;"kzp"</xm:f>
            <x14:dxf>
              <font>
                <color theme="0" tint="-0.14996795556505021"/>
              </font>
              <fill>
                <patternFill>
                  <bgColor theme="0" tint="-0.24994659260841701"/>
                </patternFill>
              </fill>
              <border>
                <left/>
                <right/>
                <top/>
                <bottom/>
                <vertical/>
                <horizontal/>
              </border>
            </x14:dxf>
          </x14:cfRule>
          <xm:sqref>E7:F7</xm:sqref>
        </x14:conditionalFormatting>
        <x14:conditionalFormatting xmlns:xm="http://schemas.microsoft.com/office/excel/2006/main">
          <x14:cfRule type="expression" priority="29" id="{E3BB435D-9F54-4BF1-BD4F-B6C588E2BF09}">
            <xm:f>'B3_Allgemeine Angaben'!$D$7&lt;&gt;"tst"</xm:f>
            <x14:dxf>
              <font>
                <color theme="0"/>
              </font>
              <fill>
                <patternFill>
                  <fgColor theme="0"/>
                  <bgColor theme="0"/>
                </patternFill>
              </fill>
              <border>
                <left/>
                <right style="thin">
                  <color auto="1"/>
                </right>
                <top/>
                <bottom/>
                <vertical/>
                <horizontal/>
              </border>
            </x14:dxf>
          </x14:cfRule>
          <xm:sqref>F16</xm:sqref>
        </x14:conditionalFormatting>
        <x14:conditionalFormatting xmlns:xm="http://schemas.microsoft.com/office/excel/2006/main">
          <x14:cfRule type="expression" priority="41" id="{1FC2EBED-EB36-4AA1-A40D-EDCF3BC89E76}">
            <xm:f>'B3_Allgemeine Angaben'!$L$48=0</xm:f>
            <x14:dxf>
              <font>
                <color theme="0"/>
              </font>
              <fill>
                <patternFill>
                  <bgColor theme="0"/>
                </patternFill>
              </fill>
              <border>
                <left style="thin">
                  <color auto="1"/>
                </left>
                <right/>
                <top/>
                <bottom/>
                <vertical/>
                <horizontal/>
              </border>
            </x14:dxf>
          </x14:cfRule>
          <xm:sqref>F60:F61 B59:F59</xm:sqref>
        </x14:conditionalFormatting>
        <x14:conditionalFormatting xmlns:xm="http://schemas.microsoft.com/office/excel/2006/main">
          <x14:cfRule type="expression" priority="38" id="{535B2BD5-69C4-4999-BA48-A73B05B1D54B}">
            <xm:f>'B3_Allgemeine Angaben'!$L$48=0</xm:f>
            <x14:dxf>
              <border>
                <left/>
                <right/>
                <top/>
                <bottom/>
                <vertical/>
                <horizontal/>
              </border>
            </x14:dxf>
          </x14:cfRule>
          <xm:sqref>F60:F61</xm:sqref>
        </x14:conditionalFormatting>
        <x14:conditionalFormatting xmlns:xm="http://schemas.microsoft.com/office/excel/2006/main">
          <x14:cfRule type="expression" priority="25" id="{4FAEF94E-8D74-41A5-90D2-634C432A36E7}">
            <xm:f>'B3_Allgemeine Angaben'!$D$7&lt;&gt;"vst"</xm:f>
            <x14:dxf>
              <font>
                <color theme="0"/>
              </font>
              <fill>
                <patternFill>
                  <fgColor theme="0"/>
                  <bgColor theme="0"/>
                </patternFill>
              </fill>
              <border>
                <left/>
                <right style="thin">
                  <color auto="1"/>
                </right>
                <top/>
                <bottom/>
                <vertical/>
                <horizontal/>
              </border>
            </x14:dxf>
          </x14:cfRule>
          <xm:sqref>H55:H57</xm:sqref>
        </x14:conditionalFormatting>
        <x14:conditionalFormatting xmlns:xm="http://schemas.microsoft.com/office/excel/2006/main">
          <x14:cfRule type="expression" priority="20" id="{5F7E4E2D-5E9F-4983-BF21-AEFF4F8565A8}">
            <xm:f>'B3_Allgemeine Angaben'!$D$7&lt;&gt;"vst"</xm:f>
            <x14:dxf>
              <font>
                <color theme="0" tint="-0.24994659260841701"/>
              </font>
              <fill>
                <patternFill>
                  <bgColor theme="0" tint="-0.24994659260841701"/>
                </patternFill>
              </fill>
            </x14:dxf>
          </x14:cfRule>
          <xm:sqref>H22:L22</xm:sqref>
        </x14:conditionalFormatting>
        <x14:conditionalFormatting xmlns:xm="http://schemas.microsoft.com/office/excel/2006/main">
          <x14:cfRule type="expression" priority="18" id="{A463FEA6-E1A1-4B40-A407-14797A68EF3B}">
            <xm:f>'B3_Allgemeine Angaben'!$D$7&lt;&gt;"vst"</xm:f>
            <x14:dxf>
              <font>
                <color theme="0" tint="-0.14996795556505021"/>
              </font>
              <fill>
                <patternFill>
                  <bgColor theme="0" tint="-0.24994659260841701"/>
                </patternFill>
              </fill>
            </x14:dxf>
          </x14:cfRule>
          <xm:sqref>H48:M48</xm:sqref>
        </x14:conditionalFormatting>
        <x14:conditionalFormatting xmlns:xm="http://schemas.microsoft.com/office/excel/2006/main">
          <x14:cfRule type="expression" priority="26" id="{8C0A39DB-CC9F-47E1-A712-15B1A636D9F3}">
            <xm:f>'B3_Allgemeine Angaben'!$D$7="tst"</xm:f>
            <x14:dxf>
              <fill>
                <patternFill>
                  <fgColor theme="0"/>
                </patternFill>
              </fill>
              <border>
                <left/>
                <right/>
                <top/>
                <bottom/>
                <vertical/>
                <horizontal/>
              </border>
            </x14:dxf>
          </x14:cfRule>
          <xm:sqref>H68:N68</xm:sqref>
        </x14:conditionalFormatting>
        <x14:conditionalFormatting xmlns:xm="http://schemas.microsoft.com/office/excel/2006/main">
          <x14:cfRule type="expression" priority="2" id="{78F0AE0F-F81A-4F21-9E34-4B4DDE4A05F4}">
            <xm:f>KAT!$A$101="nein"</xm:f>
            <x14:dxf>
              <fill>
                <patternFill>
                  <bgColor theme="0"/>
                </patternFill>
              </fill>
            </x14:dxf>
          </x14:cfRule>
          <xm:sqref>I15:K15 N16:N17</xm:sqref>
        </x14:conditionalFormatting>
        <x14:conditionalFormatting xmlns:xm="http://schemas.microsoft.com/office/excel/2006/main">
          <x14:cfRule type="expression" priority="40" id="{C680CE90-A4D4-4E57-BFBD-6C2197B720CC}">
            <xm:f>'B3_Allgemeine Angaben'!$L$48=0</xm:f>
            <x14:dxf>
              <font>
                <color theme="0"/>
              </font>
              <fill>
                <patternFill>
                  <fgColor theme="0"/>
                  <bgColor theme="0"/>
                </patternFill>
              </fill>
              <border>
                <left/>
                <right/>
                <top/>
                <bottom/>
                <vertical/>
                <horizontal/>
              </border>
            </x14:dxf>
          </x14:cfRule>
          <xm:sqref>I59:K61</xm:sqref>
        </x14:conditionalFormatting>
        <x14:conditionalFormatting xmlns:xm="http://schemas.microsoft.com/office/excel/2006/main">
          <x14:cfRule type="expression" priority="36" id="{78C4B612-6B76-487F-BE2D-B3E1E1E97178}">
            <xm:f>'B3_Allgemeine Angaben'!$D$7&lt;&gt;"tst"</xm:f>
            <x14:dxf>
              <font>
                <color theme="0"/>
              </font>
              <fill>
                <patternFill>
                  <fgColor theme="0"/>
                  <bgColor theme="0"/>
                </patternFill>
              </fill>
              <border>
                <left style="thin">
                  <color auto="1"/>
                </left>
                <right/>
                <top/>
                <bottom/>
                <vertical/>
                <horizontal/>
              </border>
            </x14:dxf>
          </x14:cfRule>
          <xm:sqref>K16</xm:sqref>
        </x14:conditionalFormatting>
        <x14:conditionalFormatting xmlns:xm="http://schemas.microsoft.com/office/excel/2006/main">
          <x14:cfRule type="expression" priority="1" id="{15FD42FB-B033-4D61-BDC7-36879DA7ABBC}">
            <xm:f>'B3_Allgemeine Angaben'!$D$7&lt;&gt;"tst"</xm:f>
            <x14:dxf>
              <font>
                <color theme="0"/>
              </font>
              <fill>
                <patternFill>
                  <fgColor theme="0"/>
                  <bgColor theme="0"/>
                </patternFill>
              </fill>
              <border>
                <left/>
                <right/>
                <top/>
                <bottom/>
                <vertical/>
                <horizontal/>
              </border>
            </x14:dxf>
          </x14:cfRule>
          <xm:sqref>L16:L17</xm:sqref>
        </x14:conditionalFormatting>
        <x14:conditionalFormatting xmlns:xm="http://schemas.microsoft.com/office/excel/2006/main">
          <x14:cfRule type="expression" priority="35" id="{72732832-7619-45CA-A5F0-E061E8020663}">
            <xm:f>KAT!$A$101="nein"</xm:f>
            <x14:dxf>
              <fill>
                <patternFill>
                  <bgColor theme="0"/>
                </patternFill>
              </fill>
            </x14:dxf>
          </x14:cfRule>
          <xm:sqref>L17</xm:sqref>
        </x14:conditionalFormatting>
        <x14:conditionalFormatting xmlns:xm="http://schemas.microsoft.com/office/excel/2006/main">
          <x14:cfRule type="expression" priority="27" id="{64370A19-8E96-4201-94FE-8286514C14FD}">
            <xm:f>'B3_Allgemeine Angaben'!$D$7&lt;&gt;"tst"</xm:f>
            <x14:dxf>
              <font>
                <color theme="0"/>
              </font>
              <fill>
                <patternFill>
                  <fgColor theme="0"/>
                  <bgColor theme="0"/>
                </patternFill>
              </fill>
              <border>
                <left style="thin">
                  <color auto="1"/>
                </left>
                <right/>
                <top/>
                <bottom/>
                <vertical/>
                <horizontal/>
              </border>
            </x14:dxf>
          </x14:cfRule>
          <xm:sqref>L55:L57</xm:sqref>
        </x14:conditionalFormatting>
        <x14:conditionalFormatting xmlns:xm="http://schemas.microsoft.com/office/excel/2006/main">
          <x14:cfRule type="expression" priority="3" id="{794F7443-878B-4AEC-980E-50D5B8604E39}">
            <xm:f>'B3_Allgemeine Angaben'!$D$7&lt;&gt;"tst"</xm:f>
            <x14:dxf>
              <font>
                <color theme="0"/>
              </font>
              <fill>
                <patternFill>
                  <bgColor theme="0"/>
                </patternFill>
              </fill>
              <border>
                <left/>
                <right/>
                <top/>
                <bottom/>
                <vertical/>
                <horizontal/>
              </border>
            </x14:dxf>
          </x14:cfRule>
          <xm:sqref>M15:M16</xm:sqref>
        </x14:conditionalFormatting>
        <x14:conditionalFormatting xmlns:xm="http://schemas.microsoft.com/office/excel/2006/main">
          <x14:cfRule type="expression" priority="24" id="{DD4E3F39-5DD2-4A86-AEB9-523660A58C13}">
            <xm:f>'B3_Allgemeine Angaben'!$L$48=0</xm:f>
            <x14:dxf>
              <font>
                <color theme="0"/>
              </font>
              <fill>
                <patternFill>
                  <fgColor theme="0"/>
                  <bgColor theme="0"/>
                </patternFill>
              </fill>
              <border>
                <left/>
                <right/>
                <top/>
                <bottom/>
                <vertical/>
                <horizontal/>
              </border>
            </x14:dxf>
          </x14:cfRule>
          <xm:sqref>N12</xm:sqref>
        </x14:conditionalFormatting>
        <x14:conditionalFormatting xmlns:xm="http://schemas.microsoft.com/office/excel/2006/main">
          <x14:cfRule type="expression" priority="43" id="{23A8072D-6112-4E20-87F0-8A7C9FBC8691}">
            <xm:f>'B3_Allgemeine Angaben'!$L$48=0</xm:f>
            <x14:dxf>
              <font>
                <color theme="0"/>
              </font>
              <fill>
                <patternFill>
                  <bgColor theme="0"/>
                </patternFill>
              </fill>
              <border>
                <left/>
                <right/>
                <top/>
                <bottom/>
                <vertical/>
                <horizontal/>
              </border>
            </x14:dxf>
          </x14:cfRule>
          <xm:sqref>N13:R14</xm:sqref>
        </x14:conditionalFormatting>
        <x14:conditionalFormatting xmlns:xm="http://schemas.microsoft.com/office/excel/2006/main">
          <x14:cfRule type="expression" priority="42" id="{C4AB7C6D-D296-4EA2-9602-FDDCE07E9A56}">
            <xm:f>'B3_Allgemeine Angaben'!$L$48=0</xm:f>
            <x14:dxf>
              <font>
                <color theme="0"/>
              </font>
              <fill>
                <patternFill>
                  <bgColor theme="0"/>
                </patternFill>
              </fill>
              <border>
                <left/>
                <right/>
                <top/>
                <bottom/>
                <vertical/>
                <horizontal/>
              </border>
            </x14:dxf>
          </x14:cfRule>
          <xm:sqref>O12:P12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C8C30FD-CE95-4E1E-803F-3E91754F30CB}">
          <x14:formula1>
            <xm:f>KAT!$A$95:$A$97</xm:f>
          </x14:formula1>
          <xm:sqref>K16</xm:sqref>
        </x14:dataValidation>
        <x14:dataValidation type="custom" allowBlank="1" showInputMessage="1" showErrorMessage="1" error="Forderung liegt über max. Steigerungsrate (10%)" xr:uid="{00000000-0002-0000-0300-000005000000}">
          <x14:formula1>
            <xm:f>L20&lt;KAT!B91+0.0001%</xm:f>
          </x14:formula1>
          <xm:sqref>L20</xm:sqref>
        </x14:dataValidation>
        <x14:dataValidation type="custom" allowBlank="1" showInputMessage="1" showErrorMessage="1" error="Forderung liegt über max. Steigerungsrate (9,10%)" xr:uid="{00000000-0002-0000-0300-000007000000}">
          <x14:formula1>
            <xm:f>L45&lt;KAT!B93+0.0001%</xm:f>
          </x14:formula1>
          <xm:sqref>L45</xm:sqref>
        </x14:dataValidation>
        <x14:dataValidation type="custom" allowBlank="1" showInputMessage="1" showErrorMessage="1" error="Forderung liegt über max. Steigerungsrate (3,50%)._x000a_" xr:uid="{B9EC7A68-3C32-42C8-87CE-61B791E0126F}">
          <x14:formula1>
            <xm:f>M32&lt;(KAT!B92+0.001%)</xm:f>
          </x14:formula1>
          <xm:sqref>M32</xm:sqref>
        </x14:dataValidation>
        <x14:dataValidation type="custom" allowBlank="1" showInputMessage="1" showErrorMessage="1" error="Forderung liegt über max. Steigerungsrate (5,00%)." xr:uid="{98E8DABA-E02D-4E9E-9531-6CE06F9513B7}">
          <x14:formula1>
            <xm:f>M45&lt;(KAT!B93+0.001%)</xm:f>
          </x14:formula1>
          <xm:sqref>M45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pageSetUpPr fitToPage="1"/>
  </sheetPr>
  <dimension ref="A1:AN59"/>
  <sheetViews>
    <sheetView showGridLines="0" zoomScaleNormal="100" workbookViewId="0">
      <selection sqref="A1:W1"/>
    </sheetView>
  </sheetViews>
  <sheetFormatPr baseColWidth="10" defaultRowHeight="14.25" x14ac:dyDescent="0.2"/>
  <cols>
    <col min="1" max="1" width="2.125" customWidth="1"/>
    <col min="2" max="2" width="5.625" customWidth="1"/>
    <col min="3" max="3" width="34.25" customWidth="1"/>
    <col min="4" max="4" width="16.625" customWidth="1"/>
    <col min="5" max="5" width="13.625" hidden="1" customWidth="1"/>
    <col min="6" max="6" width="11.625" hidden="1" customWidth="1"/>
    <col min="7" max="7" width="12.625" hidden="1" customWidth="1"/>
    <col min="8" max="8" width="13.625" customWidth="1"/>
    <col min="9" max="9" width="12.625" style="343" hidden="1" customWidth="1"/>
    <col min="10" max="10" width="13.625" customWidth="1"/>
    <col min="11" max="11" width="12.625" style="343" hidden="1" customWidth="1"/>
    <col min="12" max="12" width="13.625" customWidth="1"/>
    <col min="13" max="13" width="12.625" hidden="1" customWidth="1"/>
    <col min="14" max="14" width="13.625" customWidth="1"/>
    <col min="15" max="15" width="12.625" hidden="1" customWidth="1"/>
    <col min="16" max="16" width="13.625" customWidth="1"/>
    <col min="17" max="17" width="12.625" style="343" hidden="1" customWidth="1"/>
    <col min="18" max="18" width="13.625" customWidth="1"/>
    <col min="19" max="19" width="12.625" hidden="1" customWidth="1"/>
    <col min="20" max="20" width="13.625" customWidth="1"/>
    <col min="21" max="21" width="12.625" hidden="1" customWidth="1"/>
    <col min="22" max="22" width="13.625" customWidth="1"/>
    <col min="23" max="23" width="2.125" customWidth="1"/>
    <col min="24" max="40" width="11" style="328" hidden="1" customWidth="1"/>
    <col min="41" max="42" width="11" customWidth="1"/>
  </cols>
  <sheetData>
    <row r="1" spans="1:27" ht="15" customHeight="1" x14ac:dyDescent="0.25">
      <c r="A1" s="885" t="str">
        <f>'B3_Allgemeine Angaben'!A1</f>
        <v>Vereinfachtes Verfahren der Aufforderung zum Abschluss einer Pflegesatzvereinbarung gemäß   § 84, 85 SGB XI</v>
      </c>
      <c r="B1" s="886"/>
      <c r="C1" s="886"/>
      <c r="D1" s="886"/>
      <c r="E1" s="886"/>
      <c r="F1" s="886"/>
      <c r="G1" s="886"/>
      <c r="H1" s="886"/>
      <c r="I1" s="887"/>
      <c r="J1" s="887"/>
      <c r="K1" s="887"/>
      <c r="L1" s="887"/>
      <c r="M1" s="887"/>
      <c r="N1" s="887"/>
      <c r="O1" s="887"/>
      <c r="P1" s="887"/>
      <c r="Q1" s="887"/>
      <c r="R1" s="887"/>
      <c r="S1" s="887"/>
      <c r="T1" s="887"/>
      <c r="U1" s="887"/>
      <c r="V1" s="887"/>
      <c r="W1" s="888"/>
      <c r="X1" s="336">
        <v>43076</v>
      </c>
      <c r="Y1" s="326">
        <v>43762</v>
      </c>
      <c r="Z1" s="327">
        <v>43782</v>
      </c>
      <c r="AA1" s="334">
        <v>43804</v>
      </c>
    </row>
    <row r="2" spans="1:27" ht="15" customHeight="1" x14ac:dyDescent="0.25">
      <c r="A2" s="889" t="s">
        <v>70</v>
      </c>
      <c r="B2" s="890"/>
      <c r="C2" s="890"/>
      <c r="D2" s="890"/>
      <c r="E2" s="890"/>
      <c r="F2" s="890"/>
      <c r="G2" s="890"/>
      <c r="H2" s="890"/>
      <c r="I2" s="891"/>
      <c r="J2" s="891"/>
      <c r="K2" s="891"/>
      <c r="L2" s="891"/>
      <c r="M2" s="891"/>
      <c r="N2" s="891"/>
      <c r="O2" s="891"/>
      <c r="P2" s="891"/>
      <c r="Q2" s="891"/>
      <c r="R2" s="891"/>
      <c r="S2" s="891"/>
      <c r="T2" s="891"/>
      <c r="U2" s="891"/>
      <c r="V2" s="891"/>
      <c r="W2" s="892"/>
      <c r="X2" s="335" t="s">
        <v>252</v>
      </c>
    </row>
    <row r="3" spans="1:27" ht="15" customHeight="1" x14ac:dyDescent="0.2">
      <c r="A3" s="896" t="str">
        <f>'B3_Allgemeine Angaben'!A3:N3</f>
        <v/>
      </c>
      <c r="B3" s="897"/>
      <c r="C3" s="897"/>
      <c r="D3" s="897"/>
      <c r="E3" s="897"/>
      <c r="F3" s="897"/>
      <c r="G3" s="897"/>
      <c r="H3" s="897"/>
      <c r="I3" s="891"/>
      <c r="J3" s="891"/>
      <c r="K3" s="891"/>
      <c r="L3" s="891"/>
      <c r="M3" s="891"/>
      <c r="N3" s="891"/>
      <c r="O3" s="891"/>
      <c r="P3" s="891"/>
      <c r="Q3" s="891"/>
      <c r="R3" s="891"/>
      <c r="S3" s="891"/>
      <c r="T3" s="891"/>
      <c r="U3" s="891"/>
      <c r="V3" s="891"/>
      <c r="W3" s="892"/>
      <c r="X3" s="406"/>
    </row>
    <row r="4" spans="1:27" ht="15" customHeight="1" x14ac:dyDescent="0.2">
      <c r="A4" s="898" t="str">
        <f>'B3_Allgemeine Angaben'!A4:N4</f>
        <v/>
      </c>
      <c r="B4" s="899"/>
      <c r="C4" s="899"/>
      <c r="D4" s="899"/>
      <c r="E4" s="899"/>
      <c r="F4" s="899"/>
      <c r="G4" s="899"/>
      <c r="H4" s="899"/>
      <c r="I4" s="900"/>
      <c r="J4" s="900"/>
      <c r="K4" s="900"/>
      <c r="L4" s="900"/>
      <c r="M4" s="900"/>
      <c r="N4" s="900"/>
      <c r="O4" s="900"/>
      <c r="P4" s="900"/>
      <c r="Q4" s="900"/>
      <c r="R4" s="900"/>
      <c r="S4" s="900"/>
      <c r="T4" s="900"/>
      <c r="U4" s="900"/>
      <c r="V4" s="900"/>
      <c r="W4" s="901"/>
      <c r="X4" s="329" t="s">
        <v>318</v>
      </c>
    </row>
    <row r="5" spans="1:27" ht="14.25" customHeight="1" x14ac:dyDescent="0.2">
      <c r="A5" s="19"/>
      <c r="B5" s="407"/>
      <c r="C5" s="408"/>
      <c r="D5" s="408"/>
      <c r="E5" s="409" t="s">
        <v>71</v>
      </c>
      <c r="F5" s="409"/>
      <c r="G5" s="328"/>
      <c r="I5" s="348"/>
      <c r="J5" s="405" t="s">
        <v>125</v>
      </c>
      <c r="K5" s="348"/>
      <c r="L5" s="405" t="s">
        <v>126</v>
      </c>
      <c r="M5" s="328"/>
      <c r="N5" s="405" t="s">
        <v>142</v>
      </c>
      <c r="O5" s="328"/>
      <c r="P5" s="405" t="s">
        <v>74</v>
      </c>
      <c r="Q5" s="348"/>
      <c r="S5" s="328"/>
      <c r="U5" s="328"/>
      <c r="W5" s="18"/>
      <c r="X5" s="406"/>
    </row>
    <row r="6" spans="1:27" x14ac:dyDescent="0.2">
      <c r="A6" s="19"/>
      <c r="C6" s="410" t="s">
        <v>72</v>
      </c>
      <c r="D6" s="411" t="str">
        <f>IF('B3_Allgemeine Angaben'!L47&gt;0,'B3_Allgemeine Angaben'!L47,"")</f>
        <v/>
      </c>
      <c r="E6" s="348" t="s">
        <v>73</v>
      </c>
      <c r="F6" s="348"/>
      <c r="G6" s="328"/>
      <c r="I6" s="348"/>
      <c r="J6" s="412" t="str">
        <f>IF(B3_Kalkulation!I6&gt;0,B3_Kalkulation!I6,"")</f>
        <v/>
      </c>
      <c r="K6" s="348"/>
      <c r="L6" s="413" t="str">
        <f>IF(B3_Kalkulation!D6&gt;0,B3_Kalkulation!D6,"")</f>
        <v/>
      </c>
      <c r="M6" s="414"/>
      <c r="N6" s="415" t="str">
        <f>IFERROR(L6*J6*'B3_Allgemeine Angaben'!L47/100,"")</f>
        <v/>
      </c>
      <c r="O6" s="328"/>
      <c r="P6" s="415" t="str">
        <f>IFERROR(ROUND(J6/12,2),"")</f>
        <v/>
      </c>
      <c r="Q6" s="416"/>
      <c r="S6" s="328"/>
      <c r="T6" s="417"/>
      <c r="U6" s="353"/>
      <c r="V6" s="417"/>
      <c r="W6" s="18"/>
    </row>
    <row r="7" spans="1:27" ht="3" customHeight="1" x14ac:dyDescent="0.2">
      <c r="A7" s="19"/>
      <c r="C7" s="410"/>
      <c r="D7" s="410"/>
      <c r="E7" s="418"/>
      <c r="F7" s="418"/>
      <c r="G7" s="328"/>
      <c r="I7" s="419"/>
      <c r="J7" s="410"/>
      <c r="K7" s="419"/>
      <c r="L7" s="410"/>
      <c r="M7" s="419"/>
      <c r="N7" s="410"/>
      <c r="O7" s="328"/>
      <c r="Q7" s="419"/>
      <c r="R7" s="410"/>
      <c r="S7" s="419"/>
      <c r="T7" s="417"/>
      <c r="U7" s="353"/>
      <c r="V7" s="417"/>
      <c r="W7" s="18"/>
    </row>
    <row r="8" spans="1:27" x14ac:dyDescent="0.2">
      <c r="A8" s="19"/>
      <c r="C8" s="417"/>
      <c r="D8" s="410"/>
      <c r="E8" s="348" t="s">
        <v>75</v>
      </c>
      <c r="F8" s="348"/>
      <c r="G8" s="328"/>
      <c r="I8" s="419"/>
      <c r="J8" s="420" t="s">
        <v>143</v>
      </c>
      <c r="K8" s="348"/>
      <c r="L8" s="413" t="str">
        <f>IF('B3_Allgemeine Angaben'!D7="vst",100,IF('B3_Allgemeine Angaben'!D7="kzp",100,L6))</f>
        <v/>
      </c>
      <c r="M8" s="418"/>
      <c r="N8" s="415" t="str">
        <f>IFERROR(B3_Kalkulation!L12*J6*L8/100,"")</f>
        <v/>
      </c>
      <c r="O8" s="328"/>
      <c r="Q8" s="416"/>
      <c r="S8" s="328"/>
      <c r="T8" s="417"/>
      <c r="U8" s="353"/>
      <c r="V8" s="417"/>
      <c r="W8" s="18"/>
      <c r="X8" s="421" t="s">
        <v>319</v>
      </c>
    </row>
    <row r="9" spans="1:27" ht="9.9499999999999993" customHeight="1" x14ac:dyDescent="0.2">
      <c r="A9" s="19"/>
      <c r="C9" s="417"/>
      <c r="D9" s="410"/>
      <c r="E9" s="328"/>
      <c r="F9" s="328"/>
      <c r="G9" s="328"/>
      <c r="I9" s="419"/>
      <c r="J9" s="410"/>
      <c r="K9" s="410"/>
      <c r="L9" s="410"/>
      <c r="M9" s="414"/>
      <c r="N9" s="422"/>
      <c r="O9" s="328"/>
      <c r="Q9" s="414"/>
      <c r="R9" s="422"/>
      <c r="S9" s="328"/>
      <c r="T9" s="417"/>
      <c r="U9" s="353"/>
      <c r="V9" s="417"/>
      <c r="W9" s="18"/>
      <c r="X9" s="421" t="s">
        <v>320</v>
      </c>
    </row>
    <row r="10" spans="1:27" x14ac:dyDescent="0.2">
      <c r="A10" s="19"/>
      <c r="C10" s="420"/>
      <c r="D10" s="343" t="s">
        <v>29</v>
      </c>
      <c r="E10" s="423">
        <f>SUM(H10:P10)</f>
        <v>0</v>
      </c>
      <c r="F10" s="423" t="s">
        <v>207</v>
      </c>
      <c r="G10" s="328"/>
      <c r="H10" s="424">
        <f>B3_Kalkulation!H14</f>
        <v>0</v>
      </c>
      <c r="I10" s="425"/>
      <c r="J10" s="424">
        <f>B3_Kalkulation!I14</f>
        <v>0</v>
      </c>
      <c r="K10" s="425"/>
      <c r="L10" s="424">
        <f>B3_Kalkulation!J14</f>
        <v>0</v>
      </c>
      <c r="M10" s="426"/>
      <c r="N10" s="424">
        <f>B3_Kalkulation!K14</f>
        <v>0</v>
      </c>
      <c r="O10" s="426"/>
      <c r="P10" s="424">
        <f>B3_Kalkulation!L14</f>
        <v>0</v>
      </c>
      <c r="Q10" s="348"/>
      <c r="S10" s="328"/>
      <c r="T10" s="417"/>
      <c r="U10" s="353"/>
      <c r="V10" s="417"/>
      <c r="W10" s="18"/>
      <c r="X10" s="421" t="s">
        <v>321</v>
      </c>
    </row>
    <row r="11" spans="1:27" x14ac:dyDescent="0.2">
      <c r="A11" s="19"/>
      <c r="C11" s="420"/>
      <c r="D11" s="343" t="s">
        <v>56</v>
      </c>
      <c r="E11" s="427">
        <f>SUM(H11:P11)</f>
        <v>0</v>
      </c>
      <c r="F11" s="428" t="e">
        <f>J11+L11+N11+P11</f>
        <v>#VALUE!</v>
      </c>
      <c r="G11" s="328"/>
      <c r="H11" s="429" t="str">
        <f>IFERROR(H10*$J$6*$L$6/100,"")</f>
        <v/>
      </c>
      <c r="I11" s="348"/>
      <c r="J11" s="429" t="str">
        <f>IFERROR(J10*$J$6*$L$6/100,"")</f>
        <v/>
      </c>
      <c r="K11" s="348"/>
      <c r="L11" s="429" t="str">
        <f>IFERROR(L10*$J$6*$L$6/100,"")</f>
        <v/>
      </c>
      <c r="M11" s="328"/>
      <c r="N11" s="429" t="str">
        <f>IFERROR(N10*$J$6*$L$6/100,"")</f>
        <v/>
      </c>
      <c r="O11" s="328"/>
      <c r="P11" s="429" t="str">
        <f>IFERROR(P10*$J$6*$L$6/100,"")</f>
        <v/>
      </c>
      <c r="Q11" s="348"/>
      <c r="S11" s="328"/>
      <c r="U11" s="328"/>
      <c r="W11" s="18"/>
    </row>
    <row r="12" spans="1:27" x14ac:dyDescent="0.2">
      <c r="A12" s="19"/>
      <c r="C12" s="420"/>
      <c r="D12" s="422" t="s">
        <v>76</v>
      </c>
      <c r="E12" s="428"/>
      <c r="F12" s="428"/>
      <c r="G12" s="328"/>
      <c r="H12" s="430"/>
      <c r="I12" s="348"/>
      <c r="J12" s="431">
        <v>805</v>
      </c>
      <c r="K12" s="348"/>
      <c r="L12" s="431">
        <v>1319</v>
      </c>
      <c r="M12" s="328"/>
      <c r="N12" s="431">
        <v>1855</v>
      </c>
      <c r="O12" s="328"/>
      <c r="P12" s="431">
        <v>2096</v>
      </c>
      <c r="Q12" s="348"/>
      <c r="S12" s="328"/>
      <c r="U12" s="328"/>
      <c r="W12" s="18"/>
      <c r="X12" s="329" t="s">
        <v>322</v>
      </c>
    </row>
    <row r="13" spans="1:27" ht="9.9499999999999993" customHeight="1" x14ac:dyDescent="0.2">
      <c r="A13" s="19"/>
      <c r="E13" s="328"/>
      <c r="F13" s="432"/>
      <c r="G13" s="433"/>
      <c r="I13" s="433"/>
      <c r="K13" s="433"/>
      <c r="M13" s="433"/>
      <c r="O13" s="328"/>
      <c r="Q13" s="348"/>
      <c r="S13" s="328"/>
      <c r="U13" s="328"/>
      <c r="W13" s="18"/>
      <c r="X13" s="329" t="s">
        <v>323</v>
      </c>
    </row>
    <row r="14" spans="1:27" ht="39.950000000000003" customHeight="1" x14ac:dyDescent="0.2">
      <c r="A14" s="19"/>
      <c r="C14" s="1"/>
      <c r="D14" s="434"/>
      <c r="E14" s="435"/>
      <c r="F14" s="435"/>
      <c r="G14" s="436" t="s">
        <v>77</v>
      </c>
      <c r="H14" s="437" t="s">
        <v>152</v>
      </c>
      <c r="I14" s="436" t="s">
        <v>78</v>
      </c>
      <c r="J14" s="438" t="s">
        <v>153</v>
      </c>
      <c r="K14" s="436" t="s">
        <v>79</v>
      </c>
      <c r="L14" s="438" t="s">
        <v>154</v>
      </c>
      <c r="M14" s="436" t="s">
        <v>80</v>
      </c>
      <c r="N14" s="438" t="s">
        <v>155</v>
      </c>
      <c r="O14" s="436" t="s">
        <v>81</v>
      </c>
      <c r="P14" s="438" t="s">
        <v>156</v>
      </c>
      <c r="Q14" s="436" t="s">
        <v>82</v>
      </c>
      <c r="R14" s="438" t="s">
        <v>157</v>
      </c>
      <c r="S14" s="436" t="s">
        <v>83</v>
      </c>
      <c r="T14" s="437" t="s">
        <v>158</v>
      </c>
      <c r="U14" s="436" t="s">
        <v>144</v>
      </c>
      <c r="V14" s="437" t="s">
        <v>159</v>
      </c>
      <c r="W14" s="18"/>
      <c r="X14" s="329" t="s">
        <v>324</v>
      </c>
    </row>
    <row r="15" spans="1:27" x14ac:dyDescent="0.2">
      <c r="A15" s="19"/>
      <c r="B15" s="246"/>
      <c r="C15" s="246"/>
      <c r="D15" s="439" t="s">
        <v>84</v>
      </c>
      <c r="E15" s="440" t="s">
        <v>85</v>
      </c>
      <c r="F15" s="440" t="s">
        <v>141</v>
      </c>
      <c r="G15" s="441" t="s">
        <v>86</v>
      </c>
      <c r="H15" s="754" t="s">
        <v>586</v>
      </c>
      <c r="I15" s="442" t="s">
        <v>86</v>
      </c>
      <c r="J15" s="754" t="s">
        <v>586</v>
      </c>
      <c r="K15" s="441" t="s">
        <v>86</v>
      </c>
      <c r="L15" s="754" t="s">
        <v>586</v>
      </c>
      <c r="M15" s="441" t="s">
        <v>86</v>
      </c>
      <c r="N15" s="754" t="s">
        <v>586</v>
      </c>
      <c r="O15" s="441" t="s">
        <v>86</v>
      </c>
      <c r="P15" s="754" t="s">
        <v>586</v>
      </c>
      <c r="Q15" s="441" t="s">
        <v>86</v>
      </c>
      <c r="R15" s="754" t="s">
        <v>586</v>
      </c>
      <c r="S15" s="441" t="s">
        <v>86</v>
      </c>
      <c r="T15" s="754" t="s">
        <v>586</v>
      </c>
      <c r="U15" s="441" t="s">
        <v>86</v>
      </c>
      <c r="V15" s="754" t="s">
        <v>586</v>
      </c>
      <c r="W15" s="18"/>
      <c r="X15" s="421" t="s">
        <v>325</v>
      </c>
    </row>
    <row r="16" spans="1:27" x14ac:dyDescent="0.2">
      <c r="A16" s="19"/>
      <c r="B16" s="443" t="s">
        <v>87</v>
      </c>
      <c r="C16" s="443" t="s">
        <v>214</v>
      </c>
      <c r="D16" s="444" t="str">
        <f>IF(SUM(D17:D18,D20:D24)=0,"",SUM(D17:D18,D20:D24))</f>
        <v/>
      </c>
      <c r="E16" s="445" t="e">
        <f>G16+I16+K16+M16+O16+Q16</f>
        <v>#DIV/0!</v>
      </c>
      <c r="F16" s="446"/>
      <c r="G16" s="447" t="e">
        <f>SUM(G17:G24)</f>
        <v>#DIV/0!</v>
      </c>
      <c r="H16" s="448" t="e">
        <f t="shared" ref="H16:P16" si="0">SUM(H17:H24)</f>
        <v>#DIV/0!</v>
      </c>
      <c r="I16" s="449" t="e">
        <f>SUM(I17:I24)</f>
        <v>#DIV/0!</v>
      </c>
      <c r="J16" s="448" t="e">
        <f t="shared" si="0"/>
        <v>#DIV/0!</v>
      </c>
      <c r="K16" s="450" t="e">
        <f t="shared" si="0"/>
        <v>#DIV/0!</v>
      </c>
      <c r="L16" s="451" t="e">
        <f t="shared" si="0"/>
        <v>#DIV/0!</v>
      </c>
      <c r="M16" s="450" t="e">
        <f t="shared" si="0"/>
        <v>#DIV/0!</v>
      </c>
      <c r="N16" s="451" t="e">
        <f t="shared" si="0"/>
        <v>#DIV/0!</v>
      </c>
      <c r="O16" s="450" t="e">
        <f t="shared" si="0"/>
        <v>#DIV/0!</v>
      </c>
      <c r="P16" s="451" t="e">
        <f t="shared" si="0"/>
        <v>#DIV/0!</v>
      </c>
      <c r="Q16" s="450">
        <f>SUM(Q20:Q24)</f>
        <v>0</v>
      </c>
      <c r="R16" s="451" t="e">
        <f>SUM(R20:R24)</f>
        <v>#VALUE!</v>
      </c>
      <c r="S16" s="452"/>
      <c r="T16" s="453"/>
      <c r="U16" s="452"/>
      <c r="V16" s="453"/>
      <c r="W16" s="18"/>
    </row>
    <row r="17" spans="1:24" x14ac:dyDescent="0.2">
      <c r="A17" s="19"/>
      <c r="B17" s="454" t="s">
        <v>88</v>
      </c>
      <c r="C17" s="455" t="s">
        <v>139</v>
      </c>
      <c r="D17" s="456">
        <f>IF((B3_Kalkulation!L23*B3_Kalkulation!J23)=0,0,(B3_Kalkulation!L23*B3_Kalkulation!J23))</f>
        <v>0</v>
      </c>
      <c r="E17" s="446" t="e">
        <f>G17+I17+K17+M17+O17</f>
        <v>#DIV/0!</v>
      </c>
      <c r="F17" s="446">
        <v>1</v>
      </c>
      <c r="G17" s="457" t="e">
        <f>IF('B3_Allgemeine Angaben'!D7&lt;&gt;"vst",$D17*$F17/B3_Kalkulation!J23*B3_Kalkulation!H14/B3_Kalkulation!I17,B3_Gesamtkalkulation!$D$17*$F17*KAT!E69)</f>
        <v>#DIV/0!</v>
      </c>
      <c r="H17" s="458" t="e">
        <f>G17/$H$11</f>
        <v>#DIV/0!</v>
      </c>
      <c r="I17" s="457" t="e">
        <f>IF('B3_Allgemeine Angaben'!D7&lt;&gt;"vst",$D17*$F17/B3_Kalkulation!J23*B3_Kalkulation!I14/B3_Kalkulation!I18,B3_Gesamtkalkulation!$D$17*$F17*KAT!E70)</f>
        <v>#DIV/0!</v>
      </c>
      <c r="J17" s="458" t="e">
        <f>I17/$J$11</f>
        <v>#DIV/0!</v>
      </c>
      <c r="K17" s="457" t="e">
        <f>IF('B3_Allgemeine Angaben'!D7&lt;&gt;"vst",$D17*$F17/B3_Kalkulation!J23*B3_Kalkulation!J14/B3_Kalkulation!I19,B3_Gesamtkalkulation!D17*$F17*KAT!E71)</f>
        <v>#DIV/0!</v>
      </c>
      <c r="L17" s="458" t="e">
        <f t="shared" ref="L17:L24" si="1">K17/$L$11</f>
        <v>#DIV/0!</v>
      </c>
      <c r="M17" s="457" t="e">
        <f>IF('B3_Allgemeine Angaben'!D7&lt;&gt;"vst",$D17*$F17/B3_Kalkulation!J23*B3_Kalkulation!K14/B3_Kalkulation!I20,B3_Gesamtkalkulation!$D$17*$F17*KAT!E72)</f>
        <v>#DIV/0!</v>
      </c>
      <c r="N17" s="458" t="e">
        <f t="shared" ref="N17:N24" si="2">M17/$N$11</f>
        <v>#DIV/0!</v>
      </c>
      <c r="O17" s="457" t="e">
        <f>IF('B3_Allgemeine Angaben'!D7&lt;&gt;"vst",$D17*$F17/B3_Kalkulation!J23*B3_Kalkulation!L14/B3_Kalkulation!I21,B3_Gesamtkalkulation!$D$17*$F17*KAT!E73)</f>
        <v>#DIV/0!</v>
      </c>
      <c r="P17" s="458" t="e">
        <f t="shared" ref="P17:P24" si="3">O17/$P$11</f>
        <v>#DIV/0!</v>
      </c>
      <c r="Q17" s="459"/>
      <c r="R17" s="460"/>
      <c r="S17" s="452"/>
      <c r="T17" s="453"/>
      <c r="U17" s="452"/>
      <c r="V17" s="453"/>
      <c r="W17" s="18"/>
      <c r="X17" s="330" t="s">
        <v>357</v>
      </c>
    </row>
    <row r="18" spans="1:24" x14ac:dyDescent="0.2">
      <c r="A18" s="19"/>
      <c r="B18" s="454" t="s">
        <v>89</v>
      </c>
      <c r="C18" s="455" t="s">
        <v>140</v>
      </c>
      <c r="D18" s="456">
        <f>IF((B3_Kalkulation!L24*B3_Kalkulation!J24)=0,0,(B3_Kalkulation!L24*B3_Kalkulation!J24))</f>
        <v>0</v>
      </c>
      <c r="E18" s="446" t="e">
        <f>G18+I18+K18+M18+O18+Q18</f>
        <v>#VALUE!</v>
      </c>
      <c r="F18" s="446">
        <v>1</v>
      </c>
      <c r="G18" s="457" t="e">
        <f>D18*F18/$N$6*$H$11</f>
        <v>#VALUE!</v>
      </c>
      <c r="H18" s="461" t="e">
        <f>G18/$H$11</f>
        <v>#VALUE!</v>
      </c>
      <c r="I18" s="462" t="e">
        <f>D18*F18/$N$6*$J$11</f>
        <v>#VALUE!</v>
      </c>
      <c r="J18" s="461" t="e">
        <f>I18/$J$11</f>
        <v>#VALUE!</v>
      </c>
      <c r="K18" s="463" t="e">
        <f>D18*F18/$N$6*$L$11</f>
        <v>#VALUE!</v>
      </c>
      <c r="L18" s="461" t="e">
        <f t="shared" si="1"/>
        <v>#VALUE!</v>
      </c>
      <c r="M18" s="463" t="e">
        <f>D18*F18/$N$6*$N$11</f>
        <v>#VALUE!</v>
      </c>
      <c r="N18" s="461" t="e">
        <f t="shared" si="2"/>
        <v>#VALUE!</v>
      </c>
      <c r="O18" s="463" t="e">
        <f>D18*F18/$N$6*$P$11</f>
        <v>#VALUE!</v>
      </c>
      <c r="P18" s="461" t="e">
        <f t="shared" si="3"/>
        <v>#VALUE!</v>
      </c>
      <c r="Q18" s="464"/>
      <c r="R18" s="453"/>
      <c r="S18" s="452"/>
      <c r="T18" s="453"/>
      <c r="U18" s="452"/>
      <c r="V18" s="453"/>
      <c r="W18" s="18"/>
    </row>
    <row r="19" spans="1:24" x14ac:dyDescent="0.2">
      <c r="A19" s="19"/>
      <c r="B19" s="454" t="s">
        <v>90</v>
      </c>
      <c r="C19" s="455" t="s">
        <v>334</v>
      </c>
      <c r="D19" s="456">
        <f>IF((B3_Kalkulation!L30*B3_Kalkulation!J30)=0,0,(B3_Kalkulation!L30*B3_Kalkulation!J30))</f>
        <v>0</v>
      </c>
      <c r="E19" s="446"/>
      <c r="F19" s="446"/>
      <c r="G19" s="457"/>
      <c r="H19" s="465"/>
      <c r="I19" s="465"/>
      <c r="J19" s="465"/>
      <c r="K19" s="465"/>
      <c r="L19" s="465"/>
      <c r="M19" s="465"/>
      <c r="N19" s="465"/>
      <c r="O19" s="465"/>
      <c r="P19" s="465"/>
      <c r="Q19" s="466"/>
      <c r="R19" s="467"/>
      <c r="S19" s="467"/>
      <c r="T19" s="467"/>
      <c r="U19" s="468">
        <f>D19</f>
        <v>0</v>
      </c>
      <c r="V19" s="469" t="e">
        <f>U19/$N$8</f>
        <v>#VALUE!</v>
      </c>
      <c r="W19" s="18"/>
      <c r="X19" s="470" t="s">
        <v>363</v>
      </c>
    </row>
    <row r="20" spans="1:24" x14ac:dyDescent="0.2">
      <c r="A20" s="19"/>
      <c r="B20" s="454" t="s">
        <v>91</v>
      </c>
      <c r="C20" s="455" t="s">
        <v>335</v>
      </c>
      <c r="D20" s="456">
        <f>IF((B3_Kalkulation!L25*B3_Kalkulation!J25)=0,0,(B3_Kalkulation!L25*B3_Kalkulation!J25))</f>
        <v>0</v>
      </c>
      <c r="E20" s="446" t="e">
        <f>G20+I20+K20+M20+O20+Q20</f>
        <v>#VALUE!</v>
      </c>
      <c r="F20" s="446">
        <v>0.5</v>
      </c>
      <c r="G20" s="457" t="e">
        <f>D20*F20/$N$6*$H$11</f>
        <v>#VALUE!</v>
      </c>
      <c r="H20" s="471" t="e">
        <f>G20/$H$11</f>
        <v>#VALUE!</v>
      </c>
      <c r="I20" s="472" t="e">
        <f>D20*F20/$N$6*$J$11</f>
        <v>#VALUE!</v>
      </c>
      <c r="J20" s="471" t="e">
        <f>I20/$J$11</f>
        <v>#VALUE!</v>
      </c>
      <c r="K20" s="473" t="e">
        <f>D20*F20/$N$6*$L$11</f>
        <v>#VALUE!</v>
      </c>
      <c r="L20" s="471" t="e">
        <f>K20/$L$11</f>
        <v>#VALUE!</v>
      </c>
      <c r="M20" s="473" t="e">
        <f>D20*F20/$N$6*$N$11</f>
        <v>#VALUE!</v>
      </c>
      <c r="N20" s="471" t="e">
        <f t="shared" si="2"/>
        <v>#VALUE!</v>
      </c>
      <c r="O20" s="473" t="e">
        <f>D20*F20/$N$6*$P$11</f>
        <v>#VALUE!</v>
      </c>
      <c r="P20" s="471" t="e">
        <f>O20/$P$11</f>
        <v>#VALUE!</v>
      </c>
      <c r="Q20" s="473">
        <f>D20*F20</f>
        <v>0</v>
      </c>
      <c r="R20" s="471" t="e">
        <f>Q20/$N$6</f>
        <v>#VALUE!</v>
      </c>
      <c r="S20" s="452"/>
      <c r="T20" s="453"/>
      <c r="U20" s="452"/>
      <c r="V20" s="453"/>
      <c r="W20" s="18"/>
      <c r="X20" s="328" t="s">
        <v>366</v>
      </c>
    </row>
    <row r="21" spans="1:24" x14ac:dyDescent="0.2">
      <c r="A21" s="19"/>
      <c r="B21" s="474" t="s">
        <v>92</v>
      </c>
      <c r="C21" s="455" t="s">
        <v>62</v>
      </c>
      <c r="D21" s="456">
        <f>IF((B3_Kalkulation!L26*B3_Kalkulation!J26)=0,0,(B3_Kalkulation!L26*B3_Kalkulation!J26))</f>
        <v>0</v>
      </c>
      <c r="E21" s="446" t="e">
        <f>G21+I21+K21+M21+O21+Q21</f>
        <v>#VALUE!</v>
      </c>
      <c r="F21" s="446">
        <v>0.5</v>
      </c>
      <c r="G21" s="457" t="e">
        <f>D21*F21/$N$6*$H$11</f>
        <v>#VALUE!</v>
      </c>
      <c r="H21" s="458" t="e">
        <f>G21/$H$11</f>
        <v>#VALUE!</v>
      </c>
      <c r="I21" s="475" t="e">
        <f>D21*F21/$N$6*$J$11</f>
        <v>#VALUE!</v>
      </c>
      <c r="J21" s="458" t="e">
        <f>I21/$J$11</f>
        <v>#VALUE!</v>
      </c>
      <c r="K21" s="457" t="e">
        <f>D21*F21/$N$6*$L$11</f>
        <v>#VALUE!</v>
      </c>
      <c r="L21" s="458" t="e">
        <f>K21/$L$11</f>
        <v>#VALUE!</v>
      </c>
      <c r="M21" s="457" t="e">
        <f>D21*F21/$N$6*$N$11</f>
        <v>#VALUE!</v>
      </c>
      <c r="N21" s="458" t="e">
        <f t="shared" si="2"/>
        <v>#VALUE!</v>
      </c>
      <c r="O21" s="457" t="e">
        <f>D21*F21/$N$6*$P$11</f>
        <v>#VALUE!</v>
      </c>
      <c r="P21" s="458" t="e">
        <f t="shared" si="3"/>
        <v>#VALUE!</v>
      </c>
      <c r="Q21" s="457">
        <f>D21*F21</f>
        <v>0</v>
      </c>
      <c r="R21" s="458" t="e">
        <f t="shared" ref="R21:R24" si="4">Q21/$N$6</f>
        <v>#VALUE!</v>
      </c>
      <c r="S21" s="452"/>
      <c r="T21" s="453"/>
      <c r="U21" s="452"/>
      <c r="V21" s="453"/>
      <c r="W21" s="18"/>
      <c r="X21" s="476"/>
    </row>
    <row r="22" spans="1:24" x14ac:dyDescent="0.2">
      <c r="A22" s="19"/>
      <c r="B22" s="454" t="s">
        <v>93</v>
      </c>
      <c r="C22" s="455" t="s">
        <v>32</v>
      </c>
      <c r="D22" s="456">
        <f>IF((B3_Kalkulation!L27*B3_Kalkulation!J27)=0,0,(B3_Kalkulation!L27*B3_Kalkulation!J27))</f>
        <v>0</v>
      </c>
      <c r="E22" s="446" t="e">
        <f>G22+I22+K22+M22+O22+Q22</f>
        <v>#VALUE!</v>
      </c>
      <c r="F22" s="446">
        <v>0.5</v>
      </c>
      <c r="G22" s="457" t="e">
        <f>D22*F22/$N$6*$H$11</f>
        <v>#VALUE!</v>
      </c>
      <c r="H22" s="458" t="e">
        <f>G22/$H$11</f>
        <v>#VALUE!</v>
      </c>
      <c r="I22" s="475" t="e">
        <f>D22*F22/$N$6*$J$11</f>
        <v>#VALUE!</v>
      </c>
      <c r="J22" s="458" t="e">
        <f>I22/$J$11</f>
        <v>#VALUE!</v>
      </c>
      <c r="K22" s="457" t="e">
        <f>D22*F22/$N$6*$L$11</f>
        <v>#VALUE!</v>
      </c>
      <c r="L22" s="458" t="e">
        <f t="shared" si="1"/>
        <v>#VALUE!</v>
      </c>
      <c r="M22" s="457" t="e">
        <f>D22*F22/$N$6*$N$11</f>
        <v>#VALUE!</v>
      </c>
      <c r="N22" s="458" t="e">
        <f t="shared" si="2"/>
        <v>#VALUE!</v>
      </c>
      <c r="O22" s="457" t="e">
        <f>D22*F22/$N$6*$P$11</f>
        <v>#VALUE!</v>
      </c>
      <c r="P22" s="458" t="e">
        <f t="shared" si="3"/>
        <v>#VALUE!</v>
      </c>
      <c r="Q22" s="457">
        <f>D22*F22</f>
        <v>0</v>
      </c>
      <c r="R22" s="458" t="e">
        <f t="shared" si="4"/>
        <v>#VALUE!</v>
      </c>
      <c r="S22" s="452"/>
      <c r="T22" s="453"/>
      <c r="U22" s="452"/>
      <c r="V22" s="453"/>
      <c r="W22" s="18"/>
    </row>
    <row r="23" spans="1:24" x14ac:dyDescent="0.2">
      <c r="A23" s="19"/>
      <c r="B23" s="454" t="s">
        <v>94</v>
      </c>
      <c r="C23" s="455" t="s">
        <v>33</v>
      </c>
      <c r="D23" s="456">
        <f>IF((B3_Kalkulation!L28*B3_Kalkulation!J28)=0,0,(B3_Kalkulation!L28*B3_Kalkulation!J28))</f>
        <v>0</v>
      </c>
      <c r="E23" s="446" t="e">
        <f>G23+I23+K23+M23+O23+Q23</f>
        <v>#VALUE!</v>
      </c>
      <c r="F23" s="446">
        <v>0.5</v>
      </c>
      <c r="G23" s="457" t="e">
        <f>D23*F23/$N$6*$H$11</f>
        <v>#VALUE!</v>
      </c>
      <c r="H23" s="458" t="e">
        <f>G23/$H$11</f>
        <v>#VALUE!</v>
      </c>
      <c r="I23" s="475" t="e">
        <f>D23*F23/$N$6*$J$11</f>
        <v>#VALUE!</v>
      </c>
      <c r="J23" s="458" t="e">
        <f>I23/$J$11</f>
        <v>#VALUE!</v>
      </c>
      <c r="K23" s="457" t="e">
        <f>D23*F23/$N$6*$L$11</f>
        <v>#VALUE!</v>
      </c>
      <c r="L23" s="458" t="e">
        <f t="shared" si="1"/>
        <v>#VALUE!</v>
      </c>
      <c r="M23" s="457" t="e">
        <f>D23*F23/$N$6*$N$11</f>
        <v>#VALUE!</v>
      </c>
      <c r="N23" s="458" t="e">
        <f t="shared" si="2"/>
        <v>#VALUE!</v>
      </c>
      <c r="O23" s="457" t="e">
        <f>D23*F23/$N$6*$P$11</f>
        <v>#VALUE!</v>
      </c>
      <c r="P23" s="458" t="e">
        <f t="shared" si="3"/>
        <v>#VALUE!</v>
      </c>
      <c r="Q23" s="457">
        <f>D23*F23</f>
        <v>0</v>
      </c>
      <c r="R23" s="458" t="e">
        <f t="shared" si="4"/>
        <v>#VALUE!</v>
      </c>
      <c r="S23" s="452"/>
      <c r="T23" s="453"/>
      <c r="U23" s="452"/>
      <c r="V23" s="453"/>
      <c r="W23" s="18"/>
    </row>
    <row r="24" spans="1:24" x14ac:dyDescent="0.2">
      <c r="A24" s="19"/>
      <c r="B24" s="454" t="s">
        <v>104</v>
      </c>
      <c r="C24" s="477" t="s">
        <v>215</v>
      </c>
      <c r="D24" s="456">
        <f>B3_Kalkulation!L29*B3_Kalkulation!J29</f>
        <v>0</v>
      </c>
      <c r="E24" s="446" t="e">
        <f>G24+I24+K24+M24+O24+Q24</f>
        <v>#VALUE!</v>
      </c>
      <c r="F24" s="446">
        <v>0.5</v>
      </c>
      <c r="G24" s="457" t="e">
        <f>D24*F24/$N$6*$H$11</f>
        <v>#VALUE!</v>
      </c>
      <c r="H24" s="458" t="e">
        <f>G24/$H$11</f>
        <v>#VALUE!</v>
      </c>
      <c r="I24" s="475" t="e">
        <f>D24*F24/$N$6*$J$11</f>
        <v>#VALUE!</v>
      </c>
      <c r="J24" s="458" t="e">
        <f>I24/$J$11</f>
        <v>#VALUE!</v>
      </c>
      <c r="K24" s="457" t="e">
        <f>D24*F24/$N$6*$L$11</f>
        <v>#VALUE!</v>
      </c>
      <c r="L24" s="458" t="e">
        <f t="shared" si="1"/>
        <v>#VALUE!</v>
      </c>
      <c r="M24" s="457" t="e">
        <f>D24*F24/$N$6*$N$11</f>
        <v>#VALUE!</v>
      </c>
      <c r="N24" s="458" t="e">
        <f t="shared" si="2"/>
        <v>#VALUE!</v>
      </c>
      <c r="O24" s="457" t="e">
        <f>D24*F24/$N$6*$P$11</f>
        <v>#VALUE!</v>
      </c>
      <c r="P24" s="458" t="e">
        <f t="shared" si="3"/>
        <v>#VALUE!</v>
      </c>
      <c r="Q24" s="457">
        <f>D24*F24</f>
        <v>0</v>
      </c>
      <c r="R24" s="458" t="e">
        <f t="shared" si="4"/>
        <v>#VALUE!</v>
      </c>
      <c r="S24" s="452"/>
      <c r="T24" s="453"/>
      <c r="U24" s="452"/>
      <c r="V24" s="453"/>
      <c r="W24" s="18"/>
      <c r="X24" s="478"/>
    </row>
    <row r="25" spans="1:24" x14ac:dyDescent="0.2">
      <c r="A25" s="19"/>
      <c r="C25" s="479"/>
      <c r="D25" s="480"/>
      <c r="E25" s="481"/>
      <c r="F25" s="481"/>
      <c r="G25" s="468"/>
      <c r="H25" s="453"/>
      <c r="I25" s="468"/>
      <c r="J25" s="453"/>
      <c r="K25" s="468"/>
      <c r="L25" s="453"/>
      <c r="M25" s="468"/>
      <c r="N25" s="453"/>
      <c r="O25" s="468"/>
      <c r="P25" s="453"/>
      <c r="Q25" s="468"/>
      <c r="R25" s="453"/>
      <c r="S25" s="452"/>
      <c r="T25" s="453"/>
      <c r="U25" s="452"/>
      <c r="V25" s="453"/>
      <c r="W25" s="18"/>
    </row>
    <row r="26" spans="1:24" x14ac:dyDescent="0.2">
      <c r="A26" s="19"/>
      <c r="B26" s="482" t="s">
        <v>31</v>
      </c>
      <c r="C26" s="443" t="s">
        <v>95</v>
      </c>
      <c r="D26" s="444">
        <f>SUM(D27:D36)</f>
        <v>0</v>
      </c>
      <c r="E26" s="446" t="e">
        <f>G26+I26+K26+M26+O26+Q26+S26</f>
        <v>#VALUE!</v>
      </c>
      <c r="F26" s="446"/>
      <c r="G26" s="447" t="e">
        <f t="shared" ref="G26:L26" si="5">SUM(G28:G36)</f>
        <v>#VALUE!</v>
      </c>
      <c r="H26" s="448" t="e">
        <f t="shared" si="5"/>
        <v>#VALUE!</v>
      </c>
      <c r="I26" s="449" t="e">
        <f t="shared" si="5"/>
        <v>#VALUE!</v>
      </c>
      <c r="J26" s="448" t="e">
        <f t="shared" si="5"/>
        <v>#VALUE!</v>
      </c>
      <c r="K26" s="447" t="e">
        <f t="shared" si="5"/>
        <v>#VALUE!</v>
      </c>
      <c r="L26" s="448" t="e">
        <f t="shared" si="5"/>
        <v>#VALUE!</v>
      </c>
      <c r="M26" s="447" t="e">
        <f t="shared" ref="M26:P26" si="6">SUM(M28:M36)</f>
        <v>#VALUE!</v>
      </c>
      <c r="N26" s="448" t="e">
        <f t="shared" si="6"/>
        <v>#VALUE!</v>
      </c>
      <c r="O26" s="447" t="e">
        <f t="shared" si="6"/>
        <v>#VALUE!</v>
      </c>
      <c r="P26" s="448" t="e">
        <f t="shared" si="6"/>
        <v>#VALUE!</v>
      </c>
      <c r="Q26" s="450">
        <f>SUM(Q29:Q36)</f>
        <v>0</v>
      </c>
      <c r="R26" s="451" t="e">
        <f>SUM(R29:R36)</f>
        <v>#VALUE!</v>
      </c>
      <c r="S26" s="450">
        <f>SUM(S27:S36)</f>
        <v>0</v>
      </c>
      <c r="T26" s="451" t="e">
        <f>SUM(T27:T36)</f>
        <v>#VALUE!</v>
      </c>
      <c r="U26" s="483"/>
      <c r="V26" s="453"/>
      <c r="W26" s="18"/>
    </row>
    <row r="27" spans="1:24" x14ac:dyDescent="0.2">
      <c r="A27" s="19"/>
      <c r="B27" s="484" t="s">
        <v>37</v>
      </c>
      <c r="C27" s="485" t="s">
        <v>38</v>
      </c>
      <c r="D27" s="456">
        <f>B3_Kalkulation!L33</f>
        <v>0</v>
      </c>
      <c r="E27" s="475"/>
      <c r="F27" s="475"/>
      <c r="G27" s="486"/>
      <c r="H27" s="465"/>
      <c r="I27" s="475"/>
      <c r="J27" s="465"/>
      <c r="K27" s="475"/>
      <c r="L27" s="465"/>
      <c r="M27" s="475"/>
      <c r="N27" s="465"/>
      <c r="O27" s="475"/>
      <c r="P27" s="465"/>
      <c r="Q27" s="475"/>
      <c r="R27" s="487"/>
      <c r="S27" s="457">
        <f>D27</f>
        <v>0</v>
      </c>
      <c r="T27" s="471" t="e">
        <f>S27/$N$6</f>
        <v>#VALUE!</v>
      </c>
      <c r="U27" s="468"/>
      <c r="V27" s="453"/>
      <c r="W27" s="18"/>
    </row>
    <row r="28" spans="1:24" x14ac:dyDescent="0.2">
      <c r="A28" s="19"/>
      <c r="B28" s="484" t="s">
        <v>39</v>
      </c>
      <c r="C28" s="485" t="s">
        <v>40</v>
      </c>
      <c r="D28" s="456">
        <f>B3_Kalkulation!L34</f>
        <v>0</v>
      </c>
      <c r="E28" s="446" t="e">
        <f>G28+I28+K28+M28+O28+Q28+S28</f>
        <v>#VALUE!</v>
      </c>
      <c r="F28" s="446">
        <v>1</v>
      </c>
      <c r="G28" s="457" t="e">
        <f>D28*F28/$N$6*$H$11</f>
        <v>#VALUE!</v>
      </c>
      <c r="H28" s="458" t="e">
        <f t="shared" ref="H28:H34" si="7">G28/$H$11</f>
        <v>#VALUE!</v>
      </c>
      <c r="I28" s="475" t="e">
        <f>D28*F28/$N$6*$J$11</f>
        <v>#VALUE!</v>
      </c>
      <c r="J28" s="458" t="e">
        <f t="shared" ref="J28:J36" si="8">I28/$J$11</f>
        <v>#VALUE!</v>
      </c>
      <c r="K28" s="457" t="e">
        <f>D28*F28/$N$6*$L$11</f>
        <v>#VALUE!</v>
      </c>
      <c r="L28" s="458" t="e">
        <f t="shared" ref="L28:L36" si="9">K28/$L$11</f>
        <v>#VALUE!</v>
      </c>
      <c r="M28" s="457" t="e">
        <f>D28*F28/$N$6*$N$11</f>
        <v>#VALUE!</v>
      </c>
      <c r="N28" s="458" t="e">
        <f t="shared" ref="N28:N36" si="10">M28/$N$11</f>
        <v>#VALUE!</v>
      </c>
      <c r="O28" s="457" t="e">
        <f>D28*F28/$N$6*$P$11</f>
        <v>#VALUE!</v>
      </c>
      <c r="P28" s="458" t="e">
        <f t="shared" ref="P28:P36" si="11">O28/$P$11</f>
        <v>#VALUE!</v>
      </c>
      <c r="Q28" s="488"/>
      <c r="R28" s="467"/>
      <c r="S28" s="489"/>
      <c r="T28" s="453"/>
      <c r="U28" s="452"/>
      <c r="V28" s="453"/>
      <c r="W28" s="18"/>
    </row>
    <row r="29" spans="1:24" x14ac:dyDescent="0.2">
      <c r="A29" s="19"/>
      <c r="B29" s="484" t="s">
        <v>41</v>
      </c>
      <c r="C29" s="490" t="s">
        <v>336</v>
      </c>
      <c r="D29" s="456">
        <f>B3_Kalkulation!L35</f>
        <v>0</v>
      </c>
      <c r="E29" s="446" t="e">
        <f t="shared" ref="E29:E36" si="12">G29+I29+K29+M29+O29+Q29+S29</f>
        <v>#VALUE!</v>
      </c>
      <c r="F29" s="446">
        <v>0.5</v>
      </c>
      <c r="G29" s="457" t="e">
        <f t="shared" ref="G29:G36" si="13">D29*F29/$N$6*$H$11</f>
        <v>#VALUE!</v>
      </c>
      <c r="H29" s="458" t="e">
        <f t="shared" si="7"/>
        <v>#VALUE!</v>
      </c>
      <c r="I29" s="475" t="e">
        <f t="shared" ref="I29:I36" si="14">D29*F29/$N$6*$J$11</f>
        <v>#VALUE!</v>
      </c>
      <c r="J29" s="458" t="e">
        <f t="shared" si="8"/>
        <v>#VALUE!</v>
      </c>
      <c r="K29" s="457" t="e">
        <f t="shared" ref="K29:K36" si="15">D29*F29/$N$6*$L$11</f>
        <v>#VALUE!</v>
      </c>
      <c r="L29" s="458" t="e">
        <f t="shared" si="9"/>
        <v>#VALUE!</v>
      </c>
      <c r="M29" s="457" t="e">
        <f t="shared" ref="M29:M36" si="16">D29*F29/$N$6*$N$11</f>
        <v>#VALUE!</v>
      </c>
      <c r="N29" s="458" t="e">
        <f t="shared" si="10"/>
        <v>#VALUE!</v>
      </c>
      <c r="O29" s="457" t="e">
        <f t="shared" ref="O29:O36" si="17">D29*F29/$N$6*$P$11</f>
        <v>#VALUE!</v>
      </c>
      <c r="P29" s="458" t="e">
        <f t="shared" si="11"/>
        <v>#VALUE!</v>
      </c>
      <c r="Q29" s="457">
        <f>D29*F29</f>
        <v>0</v>
      </c>
      <c r="R29" s="458" t="e">
        <f>Q29/$N$6</f>
        <v>#VALUE!</v>
      </c>
      <c r="S29" s="491"/>
      <c r="T29" s="453"/>
      <c r="U29" s="452"/>
      <c r="V29" s="453"/>
      <c r="W29" s="18"/>
    </row>
    <row r="30" spans="1:24" x14ac:dyDescent="0.2">
      <c r="A30" s="19"/>
      <c r="B30" s="484" t="s">
        <v>42</v>
      </c>
      <c r="C30" s="485" t="s">
        <v>43</v>
      </c>
      <c r="D30" s="456">
        <f>B3_Kalkulation!L36</f>
        <v>0</v>
      </c>
      <c r="E30" s="446" t="e">
        <f t="shared" si="12"/>
        <v>#VALUE!</v>
      </c>
      <c r="F30" s="446">
        <v>0.5</v>
      </c>
      <c r="G30" s="457" t="e">
        <f t="shared" si="13"/>
        <v>#VALUE!</v>
      </c>
      <c r="H30" s="458" t="e">
        <f t="shared" si="7"/>
        <v>#VALUE!</v>
      </c>
      <c r="I30" s="475" t="e">
        <f t="shared" si="14"/>
        <v>#VALUE!</v>
      </c>
      <c r="J30" s="458" t="e">
        <f t="shared" si="8"/>
        <v>#VALUE!</v>
      </c>
      <c r="K30" s="457" t="e">
        <f t="shared" si="15"/>
        <v>#VALUE!</v>
      </c>
      <c r="L30" s="458" t="e">
        <f t="shared" si="9"/>
        <v>#VALUE!</v>
      </c>
      <c r="M30" s="457" t="e">
        <f t="shared" si="16"/>
        <v>#VALUE!</v>
      </c>
      <c r="N30" s="458" t="e">
        <f t="shared" si="10"/>
        <v>#VALUE!</v>
      </c>
      <c r="O30" s="457" t="e">
        <f t="shared" si="17"/>
        <v>#VALUE!</v>
      </c>
      <c r="P30" s="458" t="e">
        <f t="shared" si="11"/>
        <v>#VALUE!</v>
      </c>
      <c r="Q30" s="457">
        <f>D30*F30</f>
        <v>0</v>
      </c>
      <c r="R30" s="458" t="e">
        <f t="shared" ref="R30:R36" si="18">Q30/$N$6</f>
        <v>#VALUE!</v>
      </c>
      <c r="S30" s="491"/>
      <c r="T30" s="453"/>
      <c r="U30" s="452"/>
      <c r="V30" s="453"/>
      <c r="W30" s="18"/>
    </row>
    <row r="31" spans="1:24" x14ac:dyDescent="0.2">
      <c r="A31" s="19"/>
      <c r="B31" s="484" t="s">
        <v>44</v>
      </c>
      <c r="C31" s="485" t="s">
        <v>45</v>
      </c>
      <c r="D31" s="456">
        <f>B3_Kalkulation!L37</f>
        <v>0</v>
      </c>
      <c r="E31" s="446" t="e">
        <f t="shared" si="12"/>
        <v>#VALUE!</v>
      </c>
      <c r="F31" s="446">
        <v>0.5</v>
      </c>
      <c r="G31" s="457" t="e">
        <f t="shared" si="13"/>
        <v>#VALUE!</v>
      </c>
      <c r="H31" s="458" t="e">
        <f t="shared" si="7"/>
        <v>#VALUE!</v>
      </c>
      <c r="I31" s="475" t="e">
        <f t="shared" si="14"/>
        <v>#VALUE!</v>
      </c>
      <c r="J31" s="458" t="e">
        <f t="shared" si="8"/>
        <v>#VALUE!</v>
      </c>
      <c r="K31" s="457" t="e">
        <f t="shared" si="15"/>
        <v>#VALUE!</v>
      </c>
      <c r="L31" s="458" t="e">
        <f t="shared" si="9"/>
        <v>#VALUE!</v>
      </c>
      <c r="M31" s="457" t="e">
        <f t="shared" si="16"/>
        <v>#VALUE!</v>
      </c>
      <c r="N31" s="458" t="e">
        <f t="shared" si="10"/>
        <v>#VALUE!</v>
      </c>
      <c r="O31" s="457" t="e">
        <f t="shared" si="17"/>
        <v>#VALUE!</v>
      </c>
      <c r="P31" s="458" t="e">
        <f t="shared" si="11"/>
        <v>#VALUE!</v>
      </c>
      <c r="Q31" s="457">
        <f>D31*F31</f>
        <v>0</v>
      </c>
      <c r="R31" s="458" t="e">
        <f t="shared" si="18"/>
        <v>#VALUE!</v>
      </c>
      <c r="S31" s="491"/>
      <c r="T31" s="453"/>
      <c r="U31" s="452"/>
      <c r="V31" s="453"/>
      <c r="W31" s="18"/>
    </row>
    <row r="32" spans="1:24" x14ac:dyDescent="0.2">
      <c r="A32" s="19"/>
      <c r="B32" s="484" t="s">
        <v>46</v>
      </c>
      <c r="C32" s="485" t="s">
        <v>47</v>
      </c>
      <c r="D32" s="456">
        <f>B3_Kalkulation!L38</f>
        <v>0</v>
      </c>
      <c r="E32" s="446" t="e">
        <f t="shared" si="12"/>
        <v>#VALUE!</v>
      </c>
      <c r="F32" s="446">
        <v>1</v>
      </c>
      <c r="G32" s="457" t="e">
        <f t="shared" si="13"/>
        <v>#VALUE!</v>
      </c>
      <c r="H32" s="458" t="e">
        <f t="shared" si="7"/>
        <v>#VALUE!</v>
      </c>
      <c r="I32" s="475" t="e">
        <f t="shared" si="14"/>
        <v>#VALUE!</v>
      </c>
      <c r="J32" s="458" t="e">
        <f t="shared" si="8"/>
        <v>#VALUE!</v>
      </c>
      <c r="K32" s="457" t="e">
        <f t="shared" si="15"/>
        <v>#VALUE!</v>
      </c>
      <c r="L32" s="458" t="e">
        <f t="shared" si="9"/>
        <v>#VALUE!</v>
      </c>
      <c r="M32" s="457" t="e">
        <f t="shared" si="16"/>
        <v>#VALUE!</v>
      </c>
      <c r="N32" s="458" t="e">
        <f t="shared" si="10"/>
        <v>#VALUE!</v>
      </c>
      <c r="O32" s="457" t="e">
        <f t="shared" si="17"/>
        <v>#VALUE!</v>
      </c>
      <c r="P32" s="458" t="e">
        <f>O32/$P$11</f>
        <v>#VALUE!</v>
      </c>
      <c r="Q32" s="488"/>
      <c r="R32" s="467"/>
      <c r="S32" s="452"/>
      <c r="T32" s="453"/>
      <c r="U32" s="452"/>
      <c r="V32" s="453"/>
      <c r="W32" s="18"/>
    </row>
    <row r="33" spans="1:25" x14ac:dyDescent="0.2">
      <c r="A33" s="19"/>
      <c r="B33" s="492" t="s">
        <v>48</v>
      </c>
      <c r="C33" s="485" t="s">
        <v>49</v>
      </c>
      <c r="D33" s="456">
        <f>B3_Kalkulation!L39</f>
        <v>0</v>
      </c>
      <c r="E33" s="446" t="e">
        <f t="shared" si="12"/>
        <v>#VALUE!</v>
      </c>
      <c r="F33" s="446">
        <v>0.5</v>
      </c>
      <c r="G33" s="457" t="e">
        <f t="shared" si="13"/>
        <v>#VALUE!</v>
      </c>
      <c r="H33" s="458" t="e">
        <f t="shared" si="7"/>
        <v>#VALUE!</v>
      </c>
      <c r="I33" s="475" t="e">
        <f t="shared" si="14"/>
        <v>#VALUE!</v>
      </c>
      <c r="J33" s="458" t="e">
        <f t="shared" si="8"/>
        <v>#VALUE!</v>
      </c>
      <c r="K33" s="457" t="e">
        <f t="shared" si="15"/>
        <v>#VALUE!</v>
      </c>
      <c r="L33" s="458" t="e">
        <f t="shared" si="9"/>
        <v>#VALUE!</v>
      </c>
      <c r="M33" s="457" t="e">
        <f t="shared" si="16"/>
        <v>#VALUE!</v>
      </c>
      <c r="N33" s="458" t="e">
        <f t="shared" si="10"/>
        <v>#VALUE!</v>
      </c>
      <c r="O33" s="457" t="e">
        <f t="shared" si="17"/>
        <v>#VALUE!</v>
      </c>
      <c r="P33" s="458" t="e">
        <f t="shared" si="11"/>
        <v>#VALUE!</v>
      </c>
      <c r="Q33" s="457">
        <f>D33*F33</f>
        <v>0</v>
      </c>
      <c r="R33" s="458" t="e">
        <f t="shared" si="18"/>
        <v>#VALUE!</v>
      </c>
      <c r="S33" s="491"/>
      <c r="T33" s="453"/>
      <c r="U33" s="452"/>
      <c r="V33" s="453"/>
      <c r="W33" s="18"/>
    </row>
    <row r="34" spans="1:25" x14ac:dyDescent="0.2">
      <c r="A34" s="19"/>
      <c r="B34" s="492" t="s">
        <v>50</v>
      </c>
      <c r="C34" s="485" t="s">
        <v>337</v>
      </c>
      <c r="D34" s="456">
        <f>B3_Kalkulation!L40</f>
        <v>0</v>
      </c>
      <c r="E34" s="446" t="e">
        <f t="shared" si="12"/>
        <v>#VALUE!</v>
      </c>
      <c r="F34" s="446">
        <v>0.5</v>
      </c>
      <c r="G34" s="457" t="e">
        <f t="shared" si="13"/>
        <v>#VALUE!</v>
      </c>
      <c r="H34" s="458" t="e">
        <f t="shared" si="7"/>
        <v>#VALUE!</v>
      </c>
      <c r="I34" s="475" t="e">
        <f t="shared" si="14"/>
        <v>#VALUE!</v>
      </c>
      <c r="J34" s="458" t="e">
        <f t="shared" si="8"/>
        <v>#VALUE!</v>
      </c>
      <c r="K34" s="457" t="e">
        <f t="shared" si="15"/>
        <v>#VALUE!</v>
      </c>
      <c r="L34" s="458" t="e">
        <f t="shared" si="9"/>
        <v>#VALUE!</v>
      </c>
      <c r="M34" s="457" t="e">
        <f t="shared" si="16"/>
        <v>#VALUE!</v>
      </c>
      <c r="N34" s="458" t="e">
        <f t="shared" si="10"/>
        <v>#VALUE!</v>
      </c>
      <c r="O34" s="457" t="e">
        <f t="shared" si="17"/>
        <v>#VALUE!</v>
      </c>
      <c r="P34" s="458" t="e">
        <f t="shared" si="11"/>
        <v>#VALUE!</v>
      </c>
      <c r="Q34" s="457">
        <f>D34*F34</f>
        <v>0</v>
      </c>
      <c r="R34" s="458" t="e">
        <f t="shared" si="18"/>
        <v>#VALUE!</v>
      </c>
      <c r="S34" s="491"/>
      <c r="T34" s="453"/>
      <c r="U34" s="452"/>
      <c r="V34" s="453"/>
      <c r="W34" s="18"/>
    </row>
    <row r="35" spans="1:25" x14ac:dyDescent="0.2">
      <c r="A35" s="19"/>
      <c r="B35" s="492" t="s">
        <v>52</v>
      </c>
      <c r="C35" s="493" t="s">
        <v>338</v>
      </c>
      <c r="D35" s="456">
        <f>B3_Kalkulation!L41</f>
        <v>0</v>
      </c>
      <c r="E35" s="446" t="e">
        <f t="shared" si="12"/>
        <v>#VALUE!</v>
      </c>
      <c r="F35" s="446">
        <v>0.5</v>
      </c>
      <c r="G35" s="457" t="e">
        <f t="shared" si="13"/>
        <v>#VALUE!</v>
      </c>
      <c r="H35" s="458" t="e">
        <f>G35/$H$11</f>
        <v>#VALUE!</v>
      </c>
      <c r="I35" s="475" t="e">
        <f t="shared" si="14"/>
        <v>#VALUE!</v>
      </c>
      <c r="J35" s="458" t="e">
        <f t="shared" si="8"/>
        <v>#VALUE!</v>
      </c>
      <c r="K35" s="457" t="e">
        <f t="shared" si="15"/>
        <v>#VALUE!</v>
      </c>
      <c r="L35" s="458" t="e">
        <f t="shared" si="9"/>
        <v>#VALUE!</v>
      </c>
      <c r="M35" s="457" t="e">
        <f t="shared" si="16"/>
        <v>#VALUE!</v>
      </c>
      <c r="N35" s="458" t="e">
        <f t="shared" si="10"/>
        <v>#VALUE!</v>
      </c>
      <c r="O35" s="457" t="e">
        <f t="shared" si="17"/>
        <v>#VALUE!</v>
      </c>
      <c r="P35" s="458" t="e">
        <f t="shared" si="11"/>
        <v>#VALUE!</v>
      </c>
      <c r="Q35" s="457">
        <f>D35*F35</f>
        <v>0</v>
      </c>
      <c r="R35" s="458" t="e">
        <f t="shared" si="18"/>
        <v>#VALUE!</v>
      </c>
      <c r="S35" s="491"/>
      <c r="T35" s="453"/>
      <c r="U35" s="452"/>
      <c r="V35" s="453"/>
      <c r="W35" s="18"/>
    </row>
    <row r="36" spans="1:25" x14ac:dyDescent="0.2">
      <c r="A36" s="19"/>
      <c r="B36" s="492" t="s">
        <v>54</v>
      </c>
      <c r="C36" s="485" t="s">
        <v>339</v>
      </c>
      <c r="D36" s="456">
        <f>B3_Kalkulation!L42</f>
        <v>0</v>
      </c>
      <c r="E36" s="446" t="e">
        <f t="shared" si="12"/>
        <v>#VALUE!</v>
      </c>
      <c r="F36" s="446">
        <v>0.5</v>
      </c>
      <c r="G36" s="457" t="e">
        <f t="shared" si="13"/>
        <v>#VALUE!</v>
      </c>
      <c r="H36" s="458" t="e">
        <f>G36/$H$11</f>
        <v>#VALUE!</v>
      </c>
      <c r="I36" s="475" t="e">
        <f t="shared" si="14"/>
        <v>#VALUE!</v>
      </c>
      <c r="J36" s="458" t="e">
        <f t="shared" si="8"/>
        <v>#VALUE!</v>
      </c>
      <c r="K36" s="457" t="e">
        <f t="shared" si="15"/>
        <v>#VALUE!</v>
      </c>
      <c r="L36" s="458" t="e">
        <f t="shared" si="9"/>
        <v>#VALUE!</v>
      </c>
      <c r="M36" s="457" t="e">
        <f t="shared" si="16"/>
        <v>#VALUE!</v>
      </c>
      <c r="N36" s="458" t="e">
        <f t="shared" si="10"/>
        <v>#VALUE!</v>
      </c>
      <c r="O36" s="457" t="e">
        <f t="shared" si="17"/>
        <v>#VALUE!</v>
      </c>
      <c r="P36" s="458" t="e">
        <f t="shared" si="11"/>
        <v>#VALUE!</v>
      </c>
      <c r="Q36" s="457">
        <f>D36*F36</f>
        <v>0</v>
      </c>
      <c r="R36" s="458" t="e">
        <f t="shared" si="18"/>
        <v>#VALUE!</v>
      </c>
      <c r="S36" s="491"/>
      <c r="T36" s="453"/>
      <c r="U36" s="452"/>
      <c r="V36" s="453"/>
      <c r="W36" s="18"/>
    </row>
    <row r="37" spans="1:25" x14ac:dyDescent="0.2">
      <c r="A37" s="19"/>
      <c r="D37" s="480"/>
      <c r="E37" s="481"/>
      <c r="F37" s="481"/>
      <c r="G37" s="468"/>
      <c r="H37" s="453"/>
      <c r="I37" s="468"/>
      <c r="J37" s="453"/>
      <c r="K37" s="468"/>
      <c r="L37" s="494"/>
      <c r="M37" s="468"/>
      <c r="N37" s="494"/>
      <c r="O37" s="468"/>
      <c r="P37" s="494"/>
      <c r="Q37" s="468"/>
      <c r="R37" s="453"/>
      <c r="S37" s="452"/>
      <c r="T37" s="453"/>
      <c r="U37" s="452"/>
      <c r="V37" s="453"/>
      <c r="W37" s="18"/>
    </row>
    <row r="38" spans="1:25" x14ac:dyDescent="0.2">
      <c r="A38" s="19"/>
      <c r="B38" s="495" t="s">
        <v>96</v>
      </c>
      <c r="C38" s="496" t="s">
        <v>97</v>
      </c>
      <c r="D38" s="444">
        <f t="shared" ref="D38:Q38" si="19">SUM(D39:D45)</f>
        <v>0</v>
      </c>
      <c r="E38" s="446" t="e">
        <f>SUM(E39:E45)</f>
        <v>#VALUE!</v>
      </c>
      <c r="F38" s="446"/>
      <c r="G38" s="447" t="e">
        <f t="shared" si="19"/>
        <v>#VALUE!</v>
      </c>
      <c r="H38" s="448" t="e">
        <f t="shared" si="19"/>
        <v>#VALUE!</v>
      </c>
      <c r="I38" s="449" t="e">
        <f t="shared" si="19"/>
        <v>#VALUE!</v>
      </c>
      <c r="J38" s="448" t="e">
        <f t="shared" si="19"/>
        <v>#VALUE!</v>
      </c>
      <c r="K38" s="447" t="e">
        <f t="shared" si="19"/>
        <v>#VALUE!</v>
      </c>
      <c r="L38" s="448" t="e">
        <f t="shared" si="19"/>
        <v>#VALUE!</v>
      </c>
      <c r="M38" s="447" t="e">
        <f t="shared" ref="M38:P38" si="20">SUM(M39:M45)</f>
        <v>#VALUE!</v>
      </c>
      <c r="N38" s="448" t="e">
        <f t="shared" si="20"/>
        <v>#VALUE!</v>
      </c>
      <c r="O38" s="447" t="e">
        <f t="shared" si="20"/>
        <v>#VALUE!</v>
      </c>
      <c r="P38" s="448" t="e">
        <f t="shared" si="20"/>
        <v>#VALUE!</v>
      </c>
      <c r="Q38" s="450">
        <f t="shared" si="19"/>
        <v>0</v>
      </c>
      <c r="R38" s="451" t="e">
        <f>SUM(R39:R45)</f>
        <v>#VALUE!</v>
      </c>
      <c r="S38" s="452"/>
      <c r="T38" s="453"/>
      <c r="U38" s="452"/>
      <c r="V38" s="453"/>
      <c r="W38" s="18"/>
    </row>
    <row r="39" spans="1:25" x14ac:dyDescent="0.2">
      <c r="A39" s="19"/>
      <c r="B39" s="497" t="str">
        <f>B3_Kalkulation!H46</f>
        <v>3.1.</v>
      </c>
      <c r="C39" s="498" t="s">
        <v>340</v>
      </c>
      <c r="D39" s="456">
        <f>B3_Kalkulation!L46</f>
        <v>0</v>
      </c>
      <c r="E39" s="446" t="e">
        <f t="shared" ref="E39:E45" si="21">G39+I39+K39+M39+O39+Q39</f>
        <v>#VALUE!</v>
      </c>
      <c r="F39" s="446">
        <v>0.5</v>
      </c>
      <c r="G39" s="457" t="e">
        <f>D39*F39/$N$6*$H$11</f>
        <v>#VALUE!</v>
      </c>
      <c r="H39" s="458" t="e">
        <f t="shared" ref="H39:H45" si="22">G39/$H$11</f>
        <v>#VALUE!</v>
      </c>
      <c r="I39" s="475" t="e">
        <f>D39*F39/$N$6*$J$11</f>
        <v>#VALUE!</v>
      </c>
      <c r="J39" s="458" t="e">
        <f t="shared" ref="J39:J45" si="23">I39/$J$11</f>
        <v>#VALUE!</v>
      </c>
      <c r="K39" s="457" t="e">
        <f>D39*F39/$N$6*$L$11</f>
        <v>#VALUE!</v>
      </c>
      <c r="L39" s="458" t="e">
        <f t="shared" ref="L39:L45" si="24">K39/$L$11</f>
        <v>#VALUE!</v>
      </c>
      <c r="M39" s="457" t="e">
        <f>D39*F39/$N$6*$N$11</f>
        <v>#VALUE!</v>
      </c>
      <c r="N39" s="458" t="e">
        <f t="shared" ref="N39:N45" si="25">M39/$N$11</f>
        <v>#VALUE!</v>
      </c>
      <c r="O39" s="457" t="e">
        <f>D39*F39/$N$6*$P$11</f>
        <v>#VALUE!</v>
      </c>
      <c r="P39" s="458" t="e">
        <f t="shared" ref="P39:P45" si="26">O39/$P$11</f>
        <v>#VALUE!</v>
      </c>
      <c r="Q39" s="457">
        <f>D39*F39</f>
        <v>0</v>
      </c>
      <c r="R39" s="458" t="e">
        <f>Q39/$N$6</f>
        <v>#VALUE!</v>
      </c>
      <c r="S39" s="71"/>
      <c r="T39" s="499"/>
      <c r="U39" s="500"/>
      <c r="V39" s="499"/>
      <c r="W39" s="18"/>
      <c r="X39" s="329" t="s">
        <v>328</v>
      </c>
      <c r="Y39" s="329" t="s">
        <v>327</v>
      </c>
    </row>
    <row r="40" spans="1:25" x14ac:dyDescent="0.2">
      <c r="A40" s="19"/>
      <c r="B40" s="497" t="str">
        <f>B3_Kalkulation!H47</f>
        <v>3.2.</v>
      </c>
      <c r="C40" s="501" t="str">
        <f>B3_Kalkulation!I47</f>
        <v>Wäscherei</v>
      </c>
      <c r="D40" s="456">
        <f>B3_Kalkulation!L47</f>
        <v>0</v>
      </c>
      <c r="E40" s="446" t="e">
        <f t="shared" si="21"/>
        <v>#VALUE!</v>
      </c>
      <c r="F40" s="446">
        <v>0.5</v>
      </c>
      <c r="G40" s="457" t="e">
        <f t="shared" ref="G40:G45" si="27">D40*F40/$N$6*$H$11</f>
        <v>#VALUE!</v>
      </c>
      <c r="H40" s="458" t="e">
        <f t="shared" si="22"/>
        <v>#VALUE!</v>
      </c>
      <c r="I40" s="475" t="e">
        <f t="shared" ref="I40:I45" si="28">D40*F40/$N$6*$J$11</f>
        <v>#VALUE!</v>
      </c>
      <c r="J40" s="458" t="e">
        <f t="shared" si="23"/>
        <v>#VALUE!</v>
      </c>
      <c r="K40" s="457" t="e">
        <f t="shared" ref="K40:K45" si="29">D40*F40/$N$6*$L$11</f>
        <v>#VALUE!</v>
      </c>
      <c r="L40" s="458" t="e">
        <f t="shared" si="24"/>
        <v>#VALUE!</v>
      </c>
      <c r="M40" s="457" t="e">
        <f t="shared" ref="M40:M45" si="30">D40*F40/$N$6*$N$11</f>
        <v>#VALUE!</v>
      </c>
      <c r="N40" s="458" t="e">
        <f t="shared" si="25"/>
        <v>#VALUE!</v>
      </c>
      <c r="O40" s="457" t="e">
        <f t="shared" ref="O40:O45" si="31">D40*F40/$N$6*$P$11</f>
        <v>#VALUE!</v>
      </c>
      <c r="P40" s="458" t="e">
        <f t="shared" si="26"/>
        <v>#VALUE!</v>
      </c>
      <c r="Q40" s="457">
        <f t="shared" ref="Q40:Q45" si="32">D40*F40</f>
        <v>0</v>
      </c>
      <c r="R40" s="458" t="e">
        <f t="shared" ref="R40:R45" si="33">Q40/$N$6</f>
        <v>#VALUE!</v>
      </c>
      <c r="S40" s="502"/>
      <c r="T40" s="499"/>
      <c r="U40" s="500"/>
      <c r="V40" s="499"/>
      <c r="W40" s="503"/>
      <c r="X40" s="329" t="s">
        <v>329</v>
      </c>
      <c r="Y40" s="329" t="s">
        <v>330</v>
      </c>
    </row>
    <row r="41" spans="1:25" x14ac:dyDescent="0.2">
      <c r="A41" s="19"/>
      <c r="B41" s="497" t="str">
        <f>B3_Kalkulation!H48</f>
        <v>3.3.</v>
      </c>
      <c r="C41" s="501" t="str">
        <f>B3_Kalkulation!I48</f>
        <v>Wäschekennzeichnung</v>
      </c>
      <c r="D41" s="456">
        <f>B3_Kalkulation!L48</f>
        <v>0</v>
      </c>
      <c r="E41" s="445" t="e">
        <f>G41+I41+K41+M41+O41+Q41</f>
        <v>#VALUE!</v>
      </c>
      <c r="F41" s="446">
        <v>0.5</v>
      </c>
      <c r="G41" s="457" t="e">
        <f t="shared" si="27"/>
        <v>#VALUE!</v>
      </c>
      <c r="H41" s="458" t="e">
        <f t="shared" si="22"/>
        <v>#VALUE!</v>
      </c>
      <c r="I41" s="475" t="e">
        <f t="shared" si="28"/>
        <v>#VALUE!</v>
      </c>
      <c r="J41" s="458" t="e">
        <f t="shared" si="23"/>
        <v>#VALUE!</v>
      </c>
      <c r="K41" s="457" t="e">
        <f t="shared" si="29"/>
        <v>#VALUE!</v>
      </c>
      <c r="L41" s="458" t="e">
        <f t="shared" si="24"/>
        <v>#VALUE!</v>
      </c>
      <c r="M41" s="457" t="e">
        <f t="shared" si="30"/>
        <v>#VALUE!</v>
      </c>
      <c r="N41" s="458" t="e">
        <f t="shared" si="25"/>
        <v>#VALUE!</v>
      </c>
      <c r="O41" s="457" t="e">
        <f t="shared" si="31"/>
        <v>#VALUE!</v>
      </c>
      <c r="P41" s="458" t="e">
        <f t="shared" si="26"/>
        <v>#VALUE!</v>
      </c>
      <c r="Q41" s="457">
        <f t="shared" si="32"/>
        <v>0</v>
      </c>
      <c r="R41" s="458" t="e">
        <f t="shared" si="33"/>
        <v>#VALUE!</v>
      </c>
      <c r="S41" s="502"/>
      <c r="T41" s="499"/>
      <c r="U41" s="500"/>
      <c r="V41" s="499"/>
      <c r="W41" s="18"/>
    </row>
    <row r="42" spans="1:25" x14ac:dyDescent="0.2">
      <c r="A42" s="19"/>
      <c r="B42" s="497" t="str">
        <f>B3_Kalkulation!H49</f>
        <v>3.4.</v>
      </c>
      <c r="C42" s="501" t="str">
        <f>B3_Kalkulation!I49</f>
        <v>Reinigung</v>
      </c>
      <c r="D42" s="456">
        <f>B3_Kalkulation!L49</f>
        <v>0</v>
      </c>
      <c r="E42" s="446" t="e">
        <f t="shared" si="21"/>
        <v>#VALUE!</v>
      </c>
      <c r="F42" s="446">
        <v>0.5</v>
      </c>
      <c r="G42" s="457" t="e">
        <f t="shared" si="27"/>
        <v>#VALUE!</v>
      </c>
      <c r="H42" s="458" t="e">
        <f t="shared" si="22"/>
        <v>#VALUE!</v>
      </c>
      <c r="I42" s="475" t="e">
        <f t="shared" si="28"/>
        <v>#VALUE!</v>
      </c>
      <c r="J42" s="458" t="e">
        <f t="shared" si="23"/>
        <v>#VALUE!</v>
      </c>
      <c r="K42" s="457" t="e">
        <f t="shared" si="29"/>
        <v>#VALUE!</v>
      </c>
      <c r="L42" s="458" t="e">
        <f t="shared" si="24"/>
        <v>#VALUE!</v>
      </c>
      <c r="M42" s="457" t="e">
        <f t="shared" si="30"/>
        <v>#VALUE!</v>
      </c>
      <c r="N42" s="458" t="e">
        <f t="shared" si="25"/>
        <v>#VALUE!</v>
      </c>
      <c r="O42" s="457" t="e">
        <f t="shared" si="31"/>
        <v>#VALUE!</v>
      </c>
      <c r="P42" s="458" t="e">
        <f t="shared" si="26"/>
        <v>#VALUE!</v>
      </c>
      <c r="Q42" s="457">
        <f t="shared" si="32"/>
        <v>0</v>
      </c>
      <c r="R42" s="458" t="e">
        <f t="shared" si="33"/>
        <v>#VALUE!</v>
      </c>
      <c r="S42" s="504"/>
      <c r="T42" s="505"/>
      <c r="U42" s="506"/>
      <c r="V42" s="505"/>
      <c r="W42" s="18"/>
      <c r="X42" s="331" t="s">
        <v>333</v>
      </c>
    </row>
    <row r="43" spans="1:25" x14ac:dyDescent="0.2">
      <c r="A43" s="19"/>
      <c r="B43" s="497" t="str">
        <f>B3_Kalkulation!H50</f>
        <v>3.5.</v>
      </c>
      <c r="C43" s="501" t="str">
        <f>B3_Kalkulation!I50</f>
        <v>Verwaltung</v>
      </c>
      <c r="D43" s="456">
        <f>B3_Kalkulation!L50</f>
        <v>0</v>
      </c>
      <c r="E43" s="446" t="e">
        <f t="shared" si="21"/>
        <v>#VALUE!</v>
      </c>
      <c r="F43" s="446">
        <v>0.5</v>
      </c>
      <c r="G43" s="457" t="e">
        <f t="shared" si="27"/>
        <v>#VALUE!</v>
      </c>
      <c r="H43" s="458" t="e">
        <f t="shared" si="22"/>
        <v>#VALUE!</v>
      </c>
      <c r="I43" s="475" t="e">
        <f t="shared" si="28"/>
        <v>#VALUE!</v>
      </c>
      <c r="J43" s="458" t="e">
        <f t="shared" si="23"/>
        <v>#VALUE!</v>
      </c>
      <c r="K43" s="457" t="e">
        <f t="shared" si="29"/>
        <v>#VALUE!</v>
      </c>
      <c r="L43" s="458" t="e">
        <f t="shared" si="24"/>
        <v>#VALUE!</v>
      </c>
      <c r="M43" s="457" t="e">
        <f t="shared" si="30"/>
        <v>#VALUE!</v>
      </c>
      <c r="N43" s="458" t="e">
        <f t="shared" si="25"/>
        <v>#VALUE!</v>
      </c>
      <c r="O43" s="457" t="e">
        <f t="shared" si="31"/>
        <v>#VALUE!</v>
      </c>
      <c r="P43" s="458" t="e">
        <f t="shared" si="26"/>
        <v>#VALUE!</v>
      </c>
      <c r="Q43" s="457">
        <f t="shared" si="32"/>
        <v>0</v>
      </c>
      <c r="R43" s="458" t="e">
        <f t="shared" si="33"/>
        <v>#VALUE!</v>
      </c>
      <c r="S43" s="452"/>
      <c r="T43" s="453"/>
      <c r="U43" s="452"/>
      <c r="V43" s="453"/>
      <c r="W43" s="18"/>
    </row>
    <row r="44" spans="1:25" x14ac:dyDescent="0.2">
      <c r="A44" s="19"/>
      <c r="B44" s="497" t="str">
        <f>B3_Kalkulation!H51</f>
        <v>3.6.</v>
      </c>
      <c r="C44" s="501" t="str">
        <f>B3_Kalkulation!I51</f>
        <v>Haustechnik</v>
      </c>
      <c r="D44" s="456">
        <f>B3_Kalkulation!L51</f>
        <v>0</v>
      </c>
      <c r="E44" s="446" t="e">
        <f t="shared" si="21"/>
        <v>#VALUE!</v>
      </c>
      <c r="F44" s="446">
        <v>0.5</v>
      </c>
      <c r="G44" s="457" t="e">
        <f t="shared" si="27"/>
        <v>#VALUE!</v>
      </c>
      <c r="H44" s="458" t="e">
        <f t="shared" si="22"/>
        <v>#VALUE!</v>
      </c>
      <c r="I44" s="475" t="e">
        <f t="shared" si="28"/>
        <v>#VALUE!</v>
      </c>
      <c r="J44" s="458" t="e">
        <f t="shared" si="23"/>
        <v>#VALUE!</v>
      </c>
      <c r="K44" s="457" t="e">
        <f t="shared" si="29"/>
        <v>#VALUE!</v>
      </c>
      <c r="L44" s="458" t="e">
        <f t="shared" si="24"/>
        <v>#VALUE!</v>
      </c>
      <c r="M44" s="457" t="e">
        <f t="shared" si="30"/>
        <v>#VALUE!</v>
      </c>
      <c r="N44" s="458" t="e">
        <f t="shared" si="25"/>
        <v>#VALUE!</v>
      </c>
      <c r="O44" s="457" t="e">
        <f t="shared" si="31"/>
        <v>#VALUE!</v>
      </c>
      <c r="P44" s="458" t="e">
        <f t="shared" si="26"/>
        <v>#VALUE!</v>
      </c>
      <c r="Q44" s="457">
        <f t="shared" si="32"/>
        <v>0</v>
      </c>
      <c r="R44" s="458" t="e">
        <f t="shared" si="33"/>
        <v>#VALUE!</v>
      </c>
      <c r="S44" s="452"/>
      <c r="T44" s="453"/>
      <c r="U44" s="452"/>
      <c r="V44" s="453"/>
      <c r="W44" s="18"/>
      <c r="X44" s="327" t="s">
        <v>359</v>
      </c>
    </row>
    <row r="45" spans="1:25" x14ac:dyDescent="0.2">
      <c r="A45" s="19"/>
      <c r="B45" s="497" t="str">
        <f>B3_Kalkulation!H52</f>
        <v>3.7.</v>
      </c>
      <c r="C45" s="501" t="str">
        <f>B3_Kalkulation!I52</f>
        <v>sonstiges</v>
      </c>
      <c r="D45" s="456">
        <f>B3_Kalkulation!L52</f>
        <v>0</v>
      </c>
      <c r="E45" s="446" t="e">
        <f t="shared" si="21"/>
        <v>#VALUE!</v>
      </c>
      <c r="F45" s="446">
        <v>0.5</v>
      </c>
      <c r="G45" s="457" t="e">
        <f t="shared" si="27"/>
        <v>#VALUE!</v>
      </c>
      <c r="H45" s="458" t="e">
        <f t="shared" si="22"/>
        <v>#VALUE!</v>
      </c>
      <c r="I45" s="475" t="e">
        <f t="shared" si="28"/>
        <v>#VALUE!</v>
      </c>
      <c r="J45" s="458" t="e">
        <f t="shared" si="23"/>
        <v>#VALUE!</v>
      </c>
      <c r="K45" s="457" t="e">
        <f t="shared" si="29"/>
        <v>#VALUE!</v>
      </c>
      <c r="L45" s="458" t="e">
        <f t="shared" si="24"/>
        <v>#VALUE!</v>
      </c>
      <c r="M45" s="457" t="e">
        <f t="shared" si="30"/>
        <v>#VALUE!</v>
      </c>
      <c r="N45" s="458" t="e">
        <f t="shared" si="25"/>
        <v>#VALUE!</v>
      </c>
      <c r="O45" s="457" t="e">
        <f t="shared" si="31"/>
        <v>#VALUE!</v>
      </c>
      <c r="P45" s="458" t="e">
        <f t="shared" si="26"/>
        <v>#VALUE!</v>
      </c>
      <c r="Q45" s="457">
        <f t="shared" si="32"/>
        <v>0</v>
      </c>
      <c r="R45" s="458" t="e">
        <f t="shared" si="33"/>
        <v>#VALUE!</v>
      </c>
      <c r="S45" s="452"/>
      <c r="T45" s="453"/>
      <c r="U45" s="452"/>
      <c r="V45" s="453"/>
      <c r="W45" s="18"/>
      <c r="X45" s="332" t="s">
        <v>360</v>
      </c>
    </row>
    <row r="46" spans="1:25" x14ac:dyDescent="0.2">
      <c r="A46" s="19"/>
      <c r="D46" s="507"/>
      <c r="E46" s="452"/>
      <c r="F46" s="452"/>
      <c r="G46" s="508"/>
      <c r="H46" s="509"/>
      <c r="I46" s="510"/>
      <c r="J46" s="509"/>
      <c r="K46" s="511"/>
      <c r="L46" s="512"/>
      <c r="M46" s="508"/>
      <c r="N46" s="512"/>
      <c r="O46" s="508"/>
      <c r="P46" s="512"/>
      <c r="Q46" s="468"/>
      <c r="R46" s="453"/>
      <c r="S46" s="452"/>
      <c r="T46" s="453"/>
      <c r="U46" s="452"/>
      <c r="V46" s="453"/>
      <c r="W46" s="18"/>
      <c r="X46" s="332" t="s">
        <v>361</v>
      </c>
    </row>
    <row r="47" spans="1:25" x14ac:dyDescent="0.2">
      <c r="A47" s="19"/>
      <c r="B47" s="513"/>
      <c r="C47" s="442" t="str">
        <f>IF('B3_Allgemeine Angaben'!D7&lt;&gt;"vst","errechnete Aufwendungen:","errechnete Aufwendungen nach Pflegegrad 2 bis 5:")</f>
        <v>errechnete Aufwendungen:</v>
      </c>
      <c r="D47" s="456">
        <f>I47+K47+M47+O47</f>
        <v>0</v>
      </c>
      <c r="E47" s="446" t="e">
        <f>D38+D26+D16-Q16-Q26-Q38-S26-G47</f>
        <v>#VALUE!</v>
      </c>
      <c r="F47" s="446"/>
      <c r="G47" s="514" t="e">
        <f>H47*H11</f>
        <v>#VALUE!</v>
      </c>
      <c r="H47" s="515">
        <f>IF(B3_Kalkulation!H14=0,ROUND(B3_Gesamtkalkulation!J51*0.78,2),ROUND((B3_Gesamtkalkulation!H16+B3_Gesamtkalkulation!H26+B3_Gesamtkalkulation!H38),2))</f>
        <v>0</v>
      </c>
      <c r="I47" s="516">
        <f>IFERROR(J47*J11,0)</f>
        <v>0</v>
      </c>
      <c r="J47" s="517" t="str">
        <f>IF(ISERROR(J38+J26+J16),"",(J38+J26+J16))</f>
        <v/>
      </c>
      <c r="K47" s="516">
        <f>IFERROR(L47*L11,0)</f>
        <v>0</v>
      </c>
      <c r="L47" s="517" t="str">
        <f>IF(ISERROR(L38+L26+L16),"",((L38+L26+L16)))</f>
        <v/>
      </c>
      <c r="M47" s="516">
        <f>IFERROR(N47*N11,0)</f>
        <v>0</v>
      </c>
      <c r="N47" s="517" t="str">
        <f>IF(ISERROR(N38+N26+N16),"",(N38+N26+N16))</f>
        <v/>
      </c>
      <c r="O47" s="516">
        <f>IFERROR(P47*P11,0)</f>
        <v>0</v>
      </c>
      <c r="P47" s="517" t="str">
        <f>IF(ISERROR(P38+P26+P16),"",(P38+P26+P16))</f>
        <v/>
      </c>
      <c r="Q47" s="518"/>
      <c r="R47" s="453"/>
      <c r="S47" s="519"/>
      <c r="T47" s="453"/>
      <c r="U47" s="452"/>
      <c r="V47" s="453"/>
      <c r="W47" s="18"/>
      <c r="X47" s="478" t="s">
        <v>362</v>
      </c>
    </row>
    <row r="48" spans="1:25" x14ac:dyDescent="0.2">
      <c r="A48" s="19"/>
      <c r="B48" s="513"/>
      <c r="C48" s="442" t="s">
        <v>98</v>
      </c>
      <c r="D48" s="456" t="str">
        <f>IF('B3_Allgemeine Angaben'!D7="vst",(((J12*J10)+(L12*L10)+(N12*N10)+(P12*P10))*12)*$L$6/100,"")</f>
        <v/>
      </c>
      <c r="E48" s="446" t="str">
        <f>IF('B3_Allgemeine Angaben'!D7="vst",I48+K48+M48+O48,"")</f>
        <v/>
      </c>
      <c r="F48" s="446"/>
      <c r="G48" s="457"/>
      <c r="H48" s="458"/>
      <c r="I48" s="516" t="str">
        <f>IF('B3_Allgemeine Angaben'!D7="vst",J12/($P$6)*J11,"")</f>
        <v/>
      </c>
      <c r="J48" s="517" t="str">
        <f>IF('B3_Allgemeine Angaben'!D7="vst",I48/J11,"")</f>
        <v/>
      </c>
      <c r="K48" s="516" t="str">
        <f>IF('B3_Allgemeine Angaben'!D7="vst",L12/($P$6)*L11,"")</f>
        <v/>
      </c>
      <c r="L48" s="517" t="str">
        <f>IF('B3_Allgemeine Angaben'!D7="vst",K48/L11,"")</f>
        <v/>
      </c>
      <c r="M48" s="516" t="str">
        <f>IF('B3_Allgemeine Angaben'!D7="vst",N12/($P$6)*N11,"")</f>
        <v/>
      </c>
      <c r="N48" s="517" t="str">
        <f>IF('B3_Allgemeine Angaben'!D7="vst",M48/N11,"")</f>
        <v/>
      </c>
      <c r="O48" s="516" t="str">
        <f>IF('B3_Allgemeine Angaben'!D7="vst",P12/($P$6)*P11,"")</f>
        <v/>
      </c>
      <c r="P48" s="517" t="str">
        <f>IF('B3_Allgemeine Angaben'!D7="vst",O48/P11,"")</f>
        <v/>
      </c>
      <c r="Q48" s="518"/>
      <c r="R48" s="453"/>
      <c r="S48" s="519"/>
      <c r="T48" s="520"/>
      <c r="U48" s="521"/>
      <c r="V48" s="520"/>
      <c r="W48" s="18"/>
      <c r="X48" s="522"/>
    </row>
    <row r="49" spans="1:25" x14ac:dyDescent="0.2">
      <c r="A49" s="19"/>
      <c r="B49" s="513"/>
      <c r="C49" s="442" t="s">
        <v>99</v>
      </c>
      <c r="D49" s="456" t="str">
        <f>IF('B3_Allgemeine Angaben'!D7="vst",D47-D48,"")</f>
        <v/>
      </c>
      <c r="E49" s="446" t="str">
        <f>IF('B3_Allgemeine Angaben'!D7="vst",I49+K49+M49+O49,"")</f>
        <v/>
      </c>
      <c r="F49" s="446"/>
      <c r="G49" s="457"/>
      <c r="H49" s="458"/>
      <c r="I49" s="516" t="str">
        <f>IF('B3_Allgemeine Angaben'!D7="vst",(I47-I48),"")</f>
        <v/>
      </c>
      <c r="J49" s="517" t="str">
        <f>IF('B3_Allgemeine Angaben'!$D$7="vst",ROUND($D$49/eeadivisor,2),"")</f>
        <v/>
      </c>
      <c r="K49" s="516" t="str">
        <f>IF('B3_Allgemeine Angaben'!D7="vst",(K47-K48),"")</f>
        <v/>
      </c>
      <c r="L49" s="517" t="str">
        <f>IF('B3_Allgemeine Angaben'!$D$7="vst",ROUND($D$49/eeadivisor,2),"")</f>
        <v/>
      </c>
      <c r="M49" s="516" t="str">
        <f>IF('B3_Allgemeine Angaben'!D7="vst",(M47-M48),"")</f>
        <v/>
      </c>
      <c r="N49" s="517" t="str">
        <f>IF('B3_Allgemeine Angaben'!$D$7="vst",ROUND($D$49/eeadivisor,2),"")</f>
        <v/>
      </c>
      <c r="O49" s="516" t="str">
        <f>IF('B3_Allgemeine Angaben'!D7="vst",(O47-O48),"")</f>
        <v/>
      </c>
      <c r="P49" s="517" t="str">
        <f>IF('B3_Allgemeine Angaben'!$D$7="vst",ROUND($D$49/eeadivisor,2),"")</f>
        <v/>
      </c>
      <c r="Q49" s="518"/>
      <c r="R49" s="523" t="s">
        <v>103</v>
      </c>
      <c r="S49" s="519"/>
      <c r="T49" s="520"/>
      <c r="U49" s="521"/>
      <c r="V49" s="520"/>
      <c r="W49" s="18"/>
    </row>
    <row r="50" spans="1:25" ht="15" thickBot="1" x14ac:dyDescent="0.25">
      <c r="A50" s="19"/>
      <c r="G50" s="418"/>
      <c r="H50" s="524"/>
      <c r="I50" s="525"/>
      <c r="J50" s="526"/>
      <c r="K50" s="525"/>
      <c r="L50" s="526"/>
      <c r="M50" s="525"/>
      <c r="N50" s="526"/>
      <c r="O50" s="525"/>
      <c r="P50" s="526"/>
      <c r="Q50" s="525"/>
      <c r="S50" s="414"/>
      <c r="T50" s="524"/>
      <c r="U50" s="525"/>
      <c r="V50" s="524"/>
      <c r="W50" s="18"/>
    </row>
    <row r="51" spans="1:25" ht="15" thickBot="1" x14ac:dyDescent="0.25">
      <c r="A51" s="19"/>
      <c r="D51" s="527" t="s">
        <v>100</v>
      </c>
      <c r="F51" s="422"/>
      <c r="G51" s="527" t="s">
        <v>63</v>
      </c>
      <c r="H51" s="528">
        <f>IF(ISERROR(H47),"",H47)</f>
        <v>0</v>
      </c>
      <c r="I51" s="527" t="s">
        <v>64</v>
      </c>
      <c r="J51" s="528">
        <f>IF('B3_Allgemeine Angaben'!D7="vst",ROUND(J12/$P$6+J49,2),IF('B3_Allgemeine Angaben'!D7&lt;&gt;"vst",KAT!H32))</f>
        <v>0</v>
      </c>
      <c r="K51" s="527" t="s">
        <v>65</v>
      </c>
      <c r="L51" s="528">
        <f>IF('B3_Allgemeine Angaben'!D7="vst",ROUND(L12/$P$6+L49,2),IF('B3_Allgemeine Angaben'!D7&lt;&gt;"vst",KAT!H33))</f>
        <v>0</v>
      </c>
      <c r="M51" s="527" t="s">
        <v>66</v>
      </c>
      <c r="N51" s="528">
        <f>IF('B3_Allgemeine Angaben'!D7="vst",ROUND(N12/$P$6+N49,2),IF('B3_Allgemeine Angaben'!D7&lt;&gt;"vst",KAT!H34))</f>
        <v>0</v>
      </c>
      <c r="O51" s="527" t="s">
        <v>67</v>
      </c>
      <c r="P51" s="528">
        <f>IF('B3_Allgemeine Angaben'!D7="vst",ROUND(P12/$P$6+P49,2),IF('B3_Allgemeine Angaben'!D7&lt;&gt;"vst",KAT!H35))</f>
        <v>0</v>
      </c>
      <c r="Q51" s="527" t="s">
        <v>101</v>
      </c>
      <c r="R51" s="528" t="e">
        <f>ROUND(R38+R26+R16,2)</f>
        <v>#VALUE!</v>
      </c>
      <c r="S51" s="529" t="s">
        <v>102</v>
      </c>
      <c r="T51" s="528" t="e">
        <f>ROUND(T26,2)</f>
        <v>#VALUE!</v>
      </c>
      <c r="U51" s="530" t="s">
        <v>151</v>
      </c>
      <c r="V51" s="528" t="e">
        <f>IF('B3_Allgemeine Angaben'!D7="vst",V19-0.03,V19)</f>
        <v>#VALUE!</v>
      </c>
      <c r="W51" s="18"/>
      <c r="X51" s="348"/>
      <c r="Y51" s="336" t="s">
        <v>250</v>
      </c>
    </row>
    <row r="52" spans="1:25" ht="15.75" customHeight="1" x14ac:dyDescent="0.2">
      <c r="A52" s="19"/>
      <c r="D52" s="527"/>
      <c r="E52" s="524"/>
      <c r="F52" s="524"/>
      <c r="G52" s="77"/>
      <c r="H52" s="524"/>
      <c r="I52" s="410"/>
      <c r="J52" s="410"/>
      <c r="K52" s="410"/>
      <c r="L52" s="410"/>
      <c r="M52" s="410"/>
      <c r="N52" s="524"/>
      <c r="O52" s="524"/>
      <c r="P52" s="524"/>
      <c r="Q52" s="524"/>
      <c r="R52" s="524"/>
      <c r="S52" s="524"/>
      <c r="T52" s="524"/>
      <c r="U52" s="524"/>
      <c r="V52" s="524"/>
      <c r="W52" s="18"/>
      <c r="X52" s="433"/>
      <c r="Y52" s="531" t="s">
        <v>249</v>
      </c>
    </row>
    <row r="53" spans="1:25" x14ac:dyDescent="0.2">
      <c r="A53" s="19"/>
      <c r="B53" s="532" t="str">
        <f>IF('B3_Allgemeine Angaben'!L48&gt;0,"errechnete Pflegesätze (Tag je Platz) für angebundene / integrierte KZP:","")</f>
        <v/>
      </c>
      <c r="G53" s="527" t="str">
        <f>IF('B3_Allgemeine Angaben'!$L$48&gt;0,B3_Gesamtkalkulation!G51,"")</f>
        <v/>
      </c>
      <c r="H53" s="533">
        <f>IFERROR(IF(B3_Kalkulation!H14&gt;0,B3_Gesamtkalkulation!H47*0.96/0.8,J53*0.78),0)</f>
        <v>0</v>
      </c>
      <c r="I53" s="527" t="str">
        <f>IF('B3_Allgemeine Angaben'!$L$48&gt;0,B3_Gesamtkalkulation!I51,"")</f>
        <v/>
      </c>
      <c r="J53" s="533" t="str">
        <f>IFERROR(IF('B3_Allgemeine Angaben'!$L$48&gt;0,B3_Gesamtkalkulation!J47*0.96/0.8,""),0)</f>
        <v/>
      </c>
      <c r="K53" s="527" t="str">
        <f>IF('B3_Allgemeine Angaben'!$L$48&gt;0,B3_Gesamtkalkulation!K51,"")</f>
        <v/>
      </c>
      <c r="L53" s="533" t="str">
        <f>IFERROR(IF('B3_Allgemeine Angaben'!$L$48&gt;0,B3_Gesamtkalkulation!L47*0.96/0.8,""),0)</f>
        <v/>
      </c>
      <c r="M53" s="527" t="str">
        <f>IF('B3_Allgemeine Angaben'!$L$48&gt;0,B3_Gesamtkalkulation!M51,"")</f>
        <v/>
      </c>
      <c r="N53" s="533" t="str">
        <f>IFERROR(IF('B3_Allgemeine Angaben'!$L$48&gt;0,B3_Gesamtkalkulation!N47*0.96/0.8,""),0)</f>
        <v/>
      </c>
      <c r="O53" s="527" t="str">
        <f>IF('B3_Allgemeine Angaben'!$L$48&gt;0,B3_Gesamtkalkulation!O51,"")</f>
        <v/>
      </c>
      <c r="P53" s="533" t="str">
        <f>IFERROR(IF('B3_Allgemeine Angaben'!$L$48&gt;0,B3_Gesamtkalkulation!P47*0.96/0.8,""),0)</f>
        <v/>
      </c>
      <c r="Q53" s="527" t="str">
        <f>IF('B3_Allgemeine Angaben'!$L$48&gt;0,B3_Gesamtkalkulation!Q51,"")</f>
        <v/>
      </c>
      <c r="R53" s="533" t="str">
        <f>IFERROR(IF('B3_Allgemeine Angaben'!$L$48&gt;0,B3_Gesamtkalkulation!R51*0.96/0.8,""),0)</f>
        <v/>
      </c>
      <c r="S53" s="527" t="str">
        <f>IF('B3_Allgemeine Angaben'!$L$48&gt;0,B3_Gesamtkalkulation!S51,"")</f>
        <v/>
      </c>
      <c r="T53" s="533" t="str">
        <f>IFERROR(IF('B3_Allgemeine Angaben'!$L$47&gt;0,B3_Gesamtkalkulation!T51*0.96/0.8,""),0)</f>
        <v/>
      </c>
      <c r="V53" s="533" t="str">
        <f>IFERROR(IF('B3_Allgemeine Angaben'!$L$48&gt;0,B3_Gesamtkalkulation!V51+0.03,""),0)</f>
        <v/>
      </c>
      <c r="W53" s="18"/>
      <c r="Y53" s="531" t="s">
        <v>246</v>
      </c>
    </row>
    <row r="54" spans="1:25" x14ac:dyDescent="0.2">
      <c r="A54" s="185"/>
      <c r="B54" s="90"/>
      <c r="C54" s="534"/>
      <c r="D54" s="90"/>
      <c r="E54" s="90"/>
      <c r="F54" s="90"/>
      <c r="G54" s="535"/>
      <c r="H54" s="90"/>
      <c r="I54" s="535"/>
      <c r="J54" s="90"/>
      <c r="K54" s="535"/>
      <c r="L54" s="358"/>
      <c r="M54" s="535"/>
      <c r="N54" s="358"/>
      <c r="O54" s="535"/>
      <c r="P54" s="358"/>
      <c r="Q54" s="535"/>
      <c r="R54" s="90"/>
      <c r="S54" s="535"/>
      <c r="T54" s="90"/>
      <c r="U54" s="90"/>
      <c r="V54" s="90"/>
      <c r="W54" s="186"/>
      <c r="Y54" s="531" t="s">
        <v>247</v>
      </c>
    </row>
    <row r="55" spans="1:25" ht="15" thickBot="1" x14ac:dyDescent="0.25">
      <c r="C55" s="239"/>
      <c r="G55" s="527"/>
      <c r="I55" s="527"/>
      <c r="K55" s="527"/>
      <c r="L55" s="343"/>
      <c r="M55" s="527"/>
      <c r="N55" s="343"/>
      <c r="O55" s="527"/>
      <c r="P55" s="343"/>
      <c r="Q55" s="527"/>
      <c r="S55" s="527"/>
      <c r="Y55" s="531" t="s">
        <v>248</v>
      </c>
    </row>
    <row r="56" spans="1:25" ht="15" thickBot="1" x14ac:dyDescent="0.25">
      <c r="D56" s="536"/>
      <c r="E56" s="537"/>
      <c r="F56" s="537"/>
      <c r="G56" s="537"/>
      <c r="H56" s="893" t="s">
        <v>654</v>
      </c>
      <c r="I56" s="894"/>
      <c r="J56" s="894"/>
      <c r="K56" s="894"/>
      <c r="L56" s="894"/>
      <c r="M56" s="894"/>
      <c r="N56" s="895"/>
      <c r="O56" s="164"/>
      <c r="X56" s="538"/>
    </row>
    <row r="57" spans="1:25" x14ac:dyDescent="0.2">
      <c r="X57" s="470" t="s">
        <v>364</v>
      </c>
    </row>
    <row r="58" spans="1:25" hidden="1" x14ac:dyDescent="0.2">
      <c r="H58" s="539" t="s">
        <v>262</v>
      </c>
    </row>
    <row r="59" spans="1:25" x14ac:dyDescent="0.2">
      <c r="X59" s="470"/>
    </row>
  </sheetData>
  <sheetProtection algorithmName="SHA-512" hashValue="FLri4lnZQZIPid0SJu0qvIkWizxhyGGla1sAjzyNblTOVagSO9a+Yne3/4fGXBWzRFpwSXJ/6RiW0CG2+s684Q==" saltValue="bJB0+wlnLC0mQ5PsdXUqIQ==" spinCount="100000" sheet="1" selectLockedCells="1"/>
  <mergeCells count="5">
    <mergeCell ref="A1:W1"/>
    <mergeCell ref="A2:W2"/>
    <mergeCell ref="H56:N56"/>
    <mergeCell ref="A3:W3"/>
    <mergeCell ref="A4:W4"/>
  </mergeCells>
  <conditionalFormatting sqref="D24:D36">
    <cfRule type="cellIs" dxfId="30" priority="52" operator="between">
      <formula>0</formula>
      <formula>0</formula>
    </cfRule>
  </conditionalFormatting>
  <conditionalFormatting sqref="D38:D45">
    <cfRule type="cellIs" dxfId="29" priority="51" operator="between">
      <formula>0</formula>
      <formula>0</formula>
    </cfRule>
  </conditionalFormatting>
  <conditionalFormatting sqref="D47">
    <cfRule type="cellIs" dxfId="28" priority="58" operator="between">
      <formula>0</formula>
      <formula>0</formula>
    </cfRule>
  </conditionalFormatting>
  <conditionalFormatting sqref="D16:W52">
    <cfRule type="containsErrors" dxfId="27" priority="70">
      <formula>ISERROR(D16)</formula>
    </cfRule>
  </conditionalFormatting>
  <conditionalFormatting sqref="G53:G55">
    <cfRule type="containsErrors" dxfId="26" priority="49">
      <formula>ISERROR(G53)</formula>
    </cfRule>
  </conditionalFormatting>
  <conditionalFormatting sqref="H47">
    <cfRule type="expression" dxfId="25" priority="59">
      <formula>$I$47=0</formula>
    </cfRule>
  </conditionalFormatting>
  <conditionalFormatting sqref="H10:P10">
    <cfRule type="cellIs" dxfId="23" priority="56" operator="between">
      <formula>0</formula>
      <formula>0</formula>
    </cfRule>
  </conditionalFormatting>
  <conditionalFormatting sqref="I53:I55">
    <cfRule type="containsErrors" dxfId="22" priority="43">
      <formula>ISERROR(I53)</formula>
    </cfRule>
  </conditionalFormatting>
  <conditionalFormatting sqref="K53:K55">
    <cfRule type="containsErrors" dxfId="20" priority="48">
      <formula>ISERROR(K53)</formula>
    </cfRule>
  </conditionalFormatting>
  <conditionalFormatting sqref="L51">
    <cfRule type="containsText" dxfId="19" priority="55" operator="containsText" text="FALSCH">
      <formula>NOT(ISERROR(SEARCH("FALSCH",L51)))</formula>
    </cfRule>
  </conditionalFormatting>
  <conditionalFormatting sqref="M53:M55">
    <cfRule type="containsErrors" dxfId="17" priority="47">
      <formula>ISERROR(M53)</formula>
    </cfRule>
  </conditionalFormatting>
  <conditionalFormatting sqref="N6">
    <cfRule type="cellIs" dxfId="16" priority="57" operator="between">
      <formula>0</formula>
      <formula>0</formula>
    </cfRule>
  </conditionalFormatting>
  <conditionalFormatting sqref="N51">
    <cfRule type="containsText" dxfId="15" priority="11" operator="containsText" text="FALSCH">
      <formula>NOT(ISERROR(SEARCH("FALSCH",N51)))</formula>
    </cfRule>
  </conditionalFormatting>
  <conditionalFormatting sqref="O53:O55">
    <cfRule type="containsErrors" dxfId="13" priority="46">
      <formula>ISERROR(O53)</formula>
    </cfRule>
  </conditionalFormatting>
  <conditionalFormatting sqref="P51">
    <cfRule type="containsText" dxfId="12" priority="9" operator="containsText" text="FALSCH">
      <formula>NOT(ISERROR(SEARCH("FALSCH",P51)))</formula>
    </cfRule>
  </conditionalFormatting>
  <conditionalFormatting sqref="Q53:Q55">
    <cfRule type="containsErrors" dxfId="10" priority="45">
      <formula>ISERROR(Q53)</formula>
    </cfRule>
  </conditionalFormatting>
  <conditionalFormatting sqref="R51">
    <cfRule type="containsText" dxfId="7" priority="6" operator="containsText" text="FALSCH">
      <formula>NOT(ISERROR(SEARCH("FALSCH",R51)))</formula>
    </cfRule>
  </conditionalFormatting>
  <conditionalFormatting sqref="S53:S55">
    <cfRule type="containsErrors" dxfId="5" priority="44">
      <formula>ISERROR(S53)</formula>
    </cfRule>
  </conditionalFormatting>
  <conditionalFormatting sqref="T51">
    <cfRule type="containsText" dxfId="4" priority="3" operator="containsText" text="FALSCH">
      <formula>NOT(ISERROR(SEARCH("FALSCH",T51)))</formula>
    </cfRule>
  </conditionalFormatting>
  <conditionalFormatting sqref="Y52:Y55">
    <cfRule type="containsErrors" dxfId="1" priority="14">
      <formula>ISERROR(Y52)</formula>
    </cfRule>
  </conditionalFormatting>
  <hyperlinks>
    <hyperlink ref="H56" location="'Anlage 1'!A1" display="Anlage 1" xr:uid="{00000000-0004-0000-0400-000000000000}"/>
    <hyperlink ref="H56:N56" location="B3_Bewohnervertretung!A1" display="gehe weiter zu B3_Bewohnervertretung" xr:uid="{00000000-0004-0000-0400-000001000000}"/>
  </hyperlinks>
  <pageMargins left="0.70866141732283472" right="0.70866141732283472" top="0.78740157480314965" bottom="0.78740157480314965" header="0.31496062992125984" footer="0.31496062992125984"/>
  <pageSetup paperSize="9" scale="64" orientation="landscape"/>
  <headerFooter>
    <oddHeader>&amp;C&amp;9Seite 3</oddHeader>
    <oddFooter>&amp;L&amp;8Version: 22.11.2024&amp;C&amp;8Verhandlungsunterlagen SGB XI (B3 vereinfacht)</oddFooter>
  </headerFooter>
  <ignoredErrors>
    <ignoredError sqref="H16:V34 H42:R46 H47:I49 M47:M49 O47:R49 R51:V51 H37:V41 I36:V36 I35:V35 H35:H36" evalError="1"/>
    <ignoredError sqref="J47:L49 N47:N49" evalError="1" 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06F1E600-4C53-4855-B1C1-DFA9D1C96BCC}">
            <xm:f>'B3_Allgemeine Angaben'!$D$7&lt;&gt;"vst"</xm:f>
            <x14:dxf>
              <font>
                <color theme="0" tint="-4.9989318521683403E-2"/>
              </font>
              <fill>
                <patternFill>
                  <bgColor theme="0" tint="-4.9989318521683403E-2"/>
                </patternFill>
              </fill>
            </x14:dxf>
          </x14:cfRule>
          <xm:sqref>B41:C41</xm:sqref>
        </x14:conditionalFormatting>
        <x14:conditionalFormatting xmlns:xm="http://schemas.microsoft.com/office/excel/2006/main">
          <x14:cfRule type="expression" priority="65" id="{B76BB2F1-06D1-44A0-8EA3-3294A0622347}">
            <xm:f>'B3_Allgemeine Angaben'!$D$7="tst"</xm:f>
            <x14:dxf>
              <font>
                <color theme="0"/>
              </font>
              <fill>
                <patternFill>
                  <bgColor theme="0"/>
                </patternFill>
              </fill>
              <border>
                <left/>
                <right/>
                <bottom/>
                <vertical/>
                <horizontal/>
              </border>
            </x14:dxf>
          </x14:cfRule>
          <x14:cfRule type="expression" priority="62" id="{074122E9-B25B-47E2-9727-2EAB10277E85}">
            <xm:f>'B3_Allgemeine Angaben'!$D$7="kzp"</xm:f>
            <x14:dxf>
              <font>
                <color theme="0"/>
              </font>
              <fill>
                <patternFill>
                  <fgColor theme="0"/>
                  <bgColor theme="0"/>
                </patternFill>
              </fill>
              <border>
                <left/>
                <right/>
                <bottom/>
                <vertical/>
                <horizontal/>
              </border>
            </x14:dxf>
          </x14:cfRule>
          <xm:sqref>C12:P12 B48:P48 B49:R49</xm:sqref>
        </x14:conditionalFormatting>
        <x14:conditionalFormatting xmlns:xm="http://schemas.microsoft.com/office/excel/2006/main">
          <x14:cfRule type="expression" priority="13" id="{BA52BD0A-4FDD-4579-858B-44C3A2B68CC7}">
            <xm:f>'B3_Allgemeine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H53</xm:sqref>
        </x14:conditionalFormatting>
        <x14:conditionalFormatting xmlns:xm="http://schemas.microsoft.com/office/excel/2006/main">
          <x14:cfRule type="expression" priority="12" id="{233FCF2A-E80E-4840-96BA-A419F5030BC6}">
            <xm:f>'B3_Allgemeine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J53</xm:sqref>
        </x14:conditionalFormatting>
        <x14:conditionalFormatting xmlns:xm="http://schemas.microsoft.com/office/excel/2006/main">
          <x14:cfRule type="expression" priority="15" id="{9331D945-CFC1-4957-A25C-808E88B3E5B7}">
            <xm:f>'B3_Allgemeine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L53</xm:sqref>
        </x14:conditionalFormatting>
        <x14:conditionalFormatting xmlns:xm="http://schemas.microsoft.com/office/excel/2006/main">
          <x14:cfRule type="expression" priority="20" id="{17A60CE8-74DF-42F0-A6AA-A3A7CFB5AAD0}">
            <xm:f>'B3_Allgemeine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N53</xm:sqref>
        </x14:conditionalFormatting>
        <x14:conditionalFormatting xmlns:xm="http://schemas.microsoft.com/office/excel/2006/main">
          <x14:cfRule type="expression" priority="19" id="{740B77BE-7129-4761-ADE8-D1AFE7D12FC4}">
            <xm:f>'B3_Allgemeine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P53</xm:sqref>
        </x14:conditionalFormatting>
        <x14:conditionalFormatting xmlns:xm="http://schemas.microsoft.com/office/excel/2006/main">
          <x14:cfRule type="expression" priority="69" id="{07C8E480-9846-495D-94E5-811CD282BFFC}">
            <xm:f>'B3_Allgemeine Angaben'!$D$7="tst"</xm:f>
            <x14:dxf>
              <font>
                <color theme="0"/>
              </font>
              <fill>
                <patternFill>
                  <bgColor theme="0"/>
                </patternFill>
              </fill>
              <border>
                <left/>
                <right/>
                <top/>
                <bottom/>
                <vertical/>
                <horizontal/>
              </border>
            </x14:dxf>
          </x14:cfRule>
          <xm:sqref>R49 H56:P56</xm:sqref>
        </x14:conditionalFormatting>
        <x14:conditionalFormatting xmlns:xm="http://schemas.microsoft.com/office/excel/2006/main">
          <x14:cfRule type="expression" priority="66" id="{0566DA16-5EBC-4792-A482-DB323D7D639D}">
            <xm:f>'B3_Allgemeine Angaben'!$D$7="kzp"</xm:f>
            <x14:dxf>
              <font>
                <color theme="0"/>
              </font>
            </x14:dxf>
          </x14:cfRule>
          <xm:sqref>R49</xm:sqref>
        </x14:conditionalFormatting>
        <x14:conditionalFormatting xmlns:xm="http://schemas.microsoft.com/office/excel/2006/main">
          <x14:cfRule type="expression" priority="18" id="{30F6EB2A-7C14-4981-B0F8-BC6A1F2D2F71}">
            <xm:f>'B3_Allgemeine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R53</xm:sqref>
        </x14:conditionalFormatting>
        <x14:conditionalFormatting xmlns:xm="http://schemas.microsoft.com/office/excel/2006/main">
          <x14:cfRule type="expression" priority="17" id="{D95CADF1-7908-4F25-A6C6-114B81B4FEC0}">
            <xm:f>'B3_Allgemeine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T53</xm:sqref>
        </x14:conditionalFormatting>
        <x14:conditionalFormatting xmlns:xm="http://schemas.microsoft.com/office/excel/2006/main">
          <x14:cfRule type="expression" priority="16" id="{3A214EB9-4696-48AF-9F62-C67D35E58EAF}">
            <xm:f>'B3_Allgemeine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V53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Q64"/>
  <sheetViews>
    <sheetView showGridLines="0" zoomScaleNormal="100" workbookViewId="0">
      <selection activeCell="H6" sqref="H6"/>
    </sheetView>
  </sheetViews>
  <sheetFormatPr baseColWidth="10" defaultRowHeight="14.25" x14ac:dyDescent="0.2"/>
  <cols>
    <col min="1" max="2" width="3.625" style="44" customWidth="1"/>
    <col min="3" max="3" width="3.25" style="44" customWidth="1"/>
    <col min="4" max="4" width="3.125" style="44" customWidth="1"/>
    <col min="5" max="5" width="3.5" style="44" customWidth="1"/>
    <col min="6" max="6" width="11" style="44"/>
    <col min="7" max="7" width="3.125" style="44" customWidth="1"/>
    <col min="8" max="8" width="3.5" style="44" customWidth="1"/>
    <col min="9" max="9" width="11" style="44"/>
    <col min="10" max="10" width="11.875" style="44" customWidth="1"/>
    <col min="11" max="11" width="3.125" style="44" customWidth="1"/>
    <col min="12" max="12" width="17.75" style="44" customWidth="1"/>
    <col min="13" max="13" width="18.875" style="44" customWidth="1"/>
    <col min="14" max="14" width="4" style="44" customWidth="1"/>
  </cols>
  <sheetData>
    <row r="1" spans="1:17" ht="15.75" x14ac:dyDescent="0.25">
      <c r="A1" s="902" t="s">
        <v>105</v>
      </c>
      <c r="B1" s="903"/>
      <c r="C1" s="903"/>
      <c r="D1" s="903"/>
      <c r="E1" s="903"/>
      <c r="F1" s="903"/>
      <c r="G1" s="903"/>
      <c r="H1" s="903"/>
      <c r="I1" s="903"/>
      <c r="J1" s="903"/>
      <c r="K1" s="903"/>
      <c r="L1" s="903"/>
      <c r="M1" s="903"/>
      <c r="N1" s="904"/>
      <c r="O1" s="125"/>
    </row>
    <row r="2" spans="1:17" ht="15" x14ac:dyDescent="0.2">
      <c r="A2" s="905" t="s">
        <v>150</v>
      </c>
      <c r="B2" s="906"/>
      <c r="C2" s="906"/>
      <c r="D2" s="906"/>
      <c r="E2" s="906"/>
      <c r="F2" s="906"/>
      <c r="G2" s="906"/>
      <c r="H2" s="906"/>
      <c r="I2" s="906"/>
      <c r="J2" s="906"/>
      <c r="K2" s="906"/>
      <c r="L2" s="906"/>
      <c r="M2" s="906"/>
      <c r="N2" s="907"/>
      <c r="O2" s="9"/>
    </row>
    <row r="3" spans="1:17" ht="15.75" x14ac:dyDescent="0.25">
      <c r="A3" s="908" t="str">
        <f>'B3_Allgemeine Angaben'!A3:N3</f>
        <v/>
      </c>
      <c r="B3" s="909"/>
      <c r="C3" s="909"/>
      <c r="D3" s="909"/>
      <c r="E3" s="909"/>
      <c r="F3" s="909"/>
      <c r="G3" s="909"/>
      <c r="H3" s="909"/>
      <c r="I3" s="909"/>
      <c r="J3" s="909"/>
      <c r="K3" s="909"/>
      <c r="L3" s="909"/>
      <c r="M3" s="909"/>
      <c r="N3" s="910"/>
    </row>
    <row r="4" spans="1:17" ht="15.75" x14ac:dyDescent="0.25">
      <c r="A4" s="908" t="str">
        <f>'B3_Allgemeine Angaben'!A4:N4</f>
        <v/>
      </c>
      <c r="B4" s="909"/>
      <c r="C4" s="909"/>
      <c r="D4" s="909"/>
      <c r="E4" s="909"/>
      <c r="F4" s="909"/>
      <c r="G4" s="909"/>
      <c r="H4" s="909"/>
      <c r="I4" s="909"/>
      <c r="J4" s="909"/>
      <c r="K4" s="909"/>
      <c r="L4" s="909"/>
      <c r="M4" s="909"/>
      <c r="N4" s="910"/>
      <c r="O4" s="1"/>
      <c r="Q4" s="9"/>
    </row>
    <row r="5" spans="1:17" ht="16.5" thickBot="1" x14ac:dyDescent="0.3">
      <c r="A5" s="42"/>
      <c r="B5" s="43"/>
      <c r="N5" s="45"/>
      <c r="O5" s="44"/>
      <c r="Q5" s="9"/>
    </row>
    <row r="6" spans="1:17" s="81" customFormat="1" ht="16.5" thickBot="1" x14ac:dyDescent="0.3">
      <c r="A6" s="79"/>
      <c r="B6" s="911" t="s">
        <v>106</v>
      </c>
      <c r="C6" s="911"/>
      <c r="D6" s="911"/>
      <c r="E6" s="911"/>
      <c r="F6" s="911"/>
      <c r="G6" s="912"/>
      <c r="H6" s="80"/>
      <c r="J6" s="43"/>
      <c r="K6" s="80"/>
      <c r="L6" s="913" t="s">
        <v>107</v>
      </c>
      <c r="M6" s="911"/>
      <c r="N6" s="82"/>
      <c r="Q6" s="92"/>
    </row>
    <row r="7" spans="1:17" ht="14.25" customHeight="1" x14ac:dyDescent="0.2">
      <c r="A7" s="42"/>
      <c r="N7" s="45"/>
      <c r="O7" s="44"/>
    </row>
    <row r="8" spans="1:17" ht="27" customHeight="1" x14ac:dyDescent="0.2">
      <c r="A8" s="42"/>
      <c r="B8" s="917" t="s">
        <v>165</v>
      </c>
      <c r="C8" s="917"/>
      <c r="D8" s="917"/>
      <c r="E8" s="917"/>
      <c r="F8" s="917"/>
      <c r="G8" s="917"/>
      <c r="H8" s="917"/>
      <c r="I8" s="917"/>
      <c r="J8" s="917"/>
      <c r="K8" s="917"/>
      <c r="L8" s="917"/>
      <c r="M8" s="917"/>
      <c r="N8" s="45"/>
      <c r="O8" s="44"/>
    </row>
    <row r="9" spans="1:17" ht="15.75" x14ac:dyDescent="0.25">
      <c r="A9" s="42"/>
      <c r="B9" s="46"/>
      <c r="N9" s="45"/>
      <c r="O9" s="44"/>
      <c r="Q9" s="47"/>
    </row>
    <row r="10" spans="1:17" s="81" customFormat="1" ht="15" x14ac:dyDescent="0.2">
      <c r="A10" s="83"/>
      <c r="B10" s="84" t="s">
        <v>108</v>
      </c>
      <c r="C10" s="84" t="s">
        <v>109</v>
      </c>
      <c r="D10" s="84"/>
      <c r="E10" s="84"/>
      <c r="F10" s="84"/>
      <c r="G10" s="84"/>
      <c r="I10" s="84"/>
      <c r="J10" s="84"/>
      <c r="N10" s="85"/>
    </row>
    <row r="11" spans="1:17" ht="12.75" customHeight="1" thickBot="1" x14ac:dyDescent="0.3">
      <c r="A11" s="42"/>
      <c r="B11" s="46"/>
      <c r="N11" s="45"/>
      <c r="O11" s="44"/>
    </row>
    <row r="12" spans="1:17" ht="16.5" thickBot="1" x14ac:dyDescent="0.3">
      <c r="A12" s="42"/>
      <c r="D12" s="86"/>
      <c r="F12" s="43" t="s">
        <v>110</v>
      </c>
      <c r="G12" s="47"/>
      <c r="H12" s="47"/>
      <c r="I12" s="47"/>
      <c r="N12" s="45"/>
      <c r="O12" s="44"/>
    </row>
    <row r="13" spans="1:17" ht="15" x14ac:dyDescent="0.2">
      <c r="A13" s="42"/>
      <c r="F13" s="84" t="s">
        <v>111</v>
      </c>
      <c r="G13" s="48"/>
      <c r="H13" s="48"/>
      <c r="I13" s="48"/>
      <c r="J13" s="48"/>
      <c r="K13" s="48"/>
      <c r="N13" s="45"/>
      <c r="O13" s="44"/>
    </row>
    <row r="14" spans="1:17" ht="12.75" customHeight="1" thickBot="1" x14ac:dyDescent="0.25">
      <c r="A14" s="42"/>
      <c r="F14" s="48"/>
      <c r="G14" s="48"/>
      <c r="H14" s="48"/>
      <c r="I14" s="48"/>
      <c r="J14" s="48"/>
      <c r="K14" s="48"/>
      <c r="N14" s="45"/>
      <c r="O14" s="44"/>
    </row>
    <row r="15" spans="1:17" ht="16.5" thickBot="1" x14ac:dyDescent="0.3">
      <c r="A15" s="42"/>
      <c r="D15" s="86"/>
      <c r="F15" s="43" t="s">
        <v>112</v>
      </c>
      <c r="G15" s="47"/>
      <c r="H15" s="47"/>
      <c r="I15" s="47"/>
      <c r="N15" s="45"/>
      <c r="O15" s="44"/>
    </row>
    <row r="16" spans="1:17" ht="15" x14ac:dyDescent="0.2">
      <c r="A16" s="42"/>
      <c r="F16" s="84" t="s">
        <v>113</v>
      </c>
      <c r="N16" s="45"/>
      <c r="O16" s="44"/>
    </row>
    <row r="17" spans="1:15" x14ac:dyDescent="0.2">
      <c r="A17" s="42"/>
      <c r="F17" s="48"/>
      <c r="N17" s="45"/>
      <c r="O17" s="44"/>
    </row>
    <row r="18" spans="1:15" s="81" customFormat="1" ht="15" x14ac:dyDescent="0.2">
      <c r="A18" s="83"/>
      <c r="B18" s="84" t="s">
        <v>114</v>
      </c>
      <c r="C18" s="84" t="s">
        <v>115</v>
      </c>
      <c r="D18" s="84"/>
      <c r="E18" s="84"/>
      <c r="F18" s="84"/>
      <c r="G18" s="84"/>
      <c r="H18" s="84"/>
      <c r="I18" s="84"/>
      <c r="J18" s="84"/>
      <c r="L18" s="84"/>
      <c r="M18" s="84"/>
      <c r="N18" s="87"/>
    </row>
    <row r="19" spans="1:15" ht="12.75" customHeight="1" thickBot="1" x14ac:dyDescent="0.25">
      <c r="A19" s="42"/>
      <c r="C19" s="47"/>
      <c r="D19" s="47"/>
      <c r="E19" s="47"/>
      <c r="F19" s="47"/>
      <c r="G19" s="47"/>
      <c r="H19" s="47"/>
      <c r="I19" s="47"/>
      <c r="J19" s="47"/>
      <c r="K19" s="47"/>
      <c r="L19" s="47"/>
      <c r="M19" s="47"/>
      <c r="N19" s="49"/>
      <c r="O19" s="44"/>
    </row>
    <row r="20" spans="1:15" ht="15" thickBot="1" x14ac:dyDescent="0.25">
      <c r="A20" s="42"/>
      <c r="C20" s="47"/>
      <c r="D20" s="88"/>
      <c r="E20" s="17"/>
      <c r="F20" s="918" t="s">
        <v>116</v>
      </c>
      <c r="G20" s="918"/>
      <c r="H20" s="918"/>
      <c r="I20" s="918"/>
      <c r="J20" s="918"/>
      <c r="K20" s="918"/>
      <c r="L20" s="918"/>
      <c r="M20" s="76"/>
      <c r="N20" s="69"/>
      <c r="O20" s="44"/>
    </row>
    <row r="21" spans="1:15" x14ac:dyDescent="0.2">
      <c r="A21" s="42"/>
      <c r="C21" s="47"/>
      <c r="D21" s="17"/>
      <c r="E21" s="17"/>
      <c r="F21" s="89" t="s">
        <v>166</v>
      </c>
      <c r="G21" s="89"/>
      <c r="H21" s="89"/>
      <c r="I21" s="89"/>
      <c r="J21" s="89"/>
      <c r="K21" s="89"/>
      <c r="L21" s="89"/>
      <c r="M21" s="76"/>
      <c r="N21" s="69"/>
      <c r="O21" s="126"/>
    </row>
    <row r="22" spans="1:15" x14ac:dyDescent="0.2">
      <c r="A22" s="42"/>
      <c r="C22" s="47"/>
      <c r="D22" s="17"/>
      <c r="E22" s="17"/>
      <c r="F22" s="918"/>
      <c r="G22" s="918"/>
      <c r="H22" s="918"/>
      <c r="I22" s="918"/>
      <c r="J22" s="918"/>
      <c r="K22" s="918"/>
      <c r="L22" s="918"/>
      <c r="M22" s="76"/>
      <c r="N22" s="69"/>
      <c r="O22" s="44"/>
    </row>
    <row r="23" spans="1:15" ht="12.75" customHeight="1" thickBot="1" x14ac:dyDescent="0.25">
      <c r="A23" s="42"/>
      <c r="C23" s="47"/>
      <c r="D23" s="17"/>
      <c r="E23" s="17"/>
      <c r="F23" s="17"/>
      <c r="G23" s="17"/>
      <c r="H23" s="17"/>
      <c r="I23" s="17"/>
      <c r="J23" s="17"/>
      <c r="K23" s="17"/>
      <c r="L23" s="17"/>
      <c r="M23" s="17"/>
      <c r="N23" s="51"/>
      <c r="O23" s="44"/>
    </row>
    <row r="24" spans="1:15" ht="15" thickBot="1" x14ac:dyDescent="0.25">
      <c r="A24" s="42"/>
      <c r="C24" s="47"/>
      <c r="D24" s="88"/>
      <c r="E24" s="17"/>
      <c r="F24" s="919" t="s">
        <v>117</v>
      </c>
      <c r="G24" s="919"/>
      <c r="H24" s="919"/>
      <c r="I24" s="919"/>
      <c r="J24" s="919"/>
      <c r="K24" s="919"/>
      <c r="L24" s="919"/>
      <c r="M24" s="77"/>
      <c r="N24" s="70"/>
      <c r="O24" s="50"/>
    </row>
    <row r="25" spans="1:15" x14ac:dyDescent="0.2">
      <c r="A25" s="42"/>
      <c r="C25" s="47"/>
      <c r="D25" s="17"/>
      <c r="E25" s="17"/>
      <c r="F25" s="17" t="s">
        <v>167</v>
      </c>
      <c r="G25" s="17"/>
      <c r="H25" s="17"/>
      <c r="I25" s="17"/>
      <c r="J25" s="17"/>
      <c r="K25" s="17"/>
      <c r="L25" s="17"/>
      <c r="M25" s="77"/>
      <c r="N25" s="70"/>
      <c r="O25" s="44"/>
    </row>
    <row r="26" spans="1:15" x14ac:dyDescent="0.2">
      <c r="A26" s="42"/>
      <c r="C26" s="47"/>
      <c r="D26" s="17"/>
      <c r="E26" s="17"/>
      <c r="F26" s="919"/>
      <c r="G26" s="919"/>
      <c r="H26" s="919"/>
      <c r="I26" s="919"/>
      <c r="J26" s="919"/>
      <c r="K26" s="919"/>
      <c r="L26" s="919"/>
      <c r="M26" s="77"/>
      <c r="N26" s="70"/>
      <c r="O26" s="44"/>
    </row>
    <row r="27" spans="1:15" ht="14.85" customHeight="1" x14ac:dyDescent="0.2">
      <c r="A27" s="52"/>
      <c r="B27" s="53"/>
      <c r="C27" s="54"/>
      <c r="D27" s="55"/>
      <c r="E27" s="55"/>
      <c r="F27" s="55"/>
      <c r="G27" s="55"/>
      <c r="H27" s="55"/>
      <c r="I27" s="55"/>
      <c r="J27" s="55"/>
      <c r="K27" s="55"/>
      <c r="L27" s="55"/>
      <c r="M27" s="55"/>
      <c r="N27" s="56"/>
      <c r="O27" s="44"/>
    </row>
    <row r="28" spans="1:15" ht="14.85" customHeight="1" x14ac:dyDescent="0.2">
      <c r="A28" s="42"/>
      <c r="C28" s="47"/>
      <c r="D28" s="17"/>
      <c r="E28" s="17"/>
      <c r="F28" s="17"/>
      <c r="G28" s="17"/>
      <c r="H28" s="17"/>
      <c r="I28" s="17"/>
      <c r="J28" s="17"/>
      <c r="K28" s="17"/>
      <c r="L28" s="17"/>
      <c r="M28" s="17"/>
      <c r="N28" s="51"/>
      <c r="O28" s="44"/>
    </row>
    <row r="29" spans="1:15" s="81" customFormat="1" ht="15" x14ac:dyDescent="0.2">
      <c r="A29" s="83"/>
      <c r="B29" s="84" t="s">
        <v>118</v>
      </c>
      <c r="C29" s="84" t="s">
        <v>119</v>
      </c>
      <c r="D29" s="84"/>
      <c r="E29" s="84"/>
      <c r="F29" s="84"/>
      <c r="G29" s="84"/>
      <c r="H29" s="84"/>
      <c r="I29" s="84"/>
      <c r="J29" s="84"/>
      <c r="L29" s="84"/>
      <c r="M29" s="84"/>
      <c r="N29" s="87"/>
    </row>
    <row r="30" spans="1:15" ht="12.75" customHeight="1" x14ac:dyDescent="0.2">
      <c r="A30" s="42"/>
      <c r="C30" s="47"/>
      <c r="D30" s="17"/>
      <c r="E30" s="17"/>
      <c r="F30" s="17"/>
      <c r="G30" s="17"/>
      <c r="H30" s="17"/>
      <c r="I30" s="17"/>
      <c r="J30" s="17"/>
      <c r="K30" s="17"/>
      <c r="L30" s="17"/>
      <c r="M30" s="17"/>
      <c r="N30" s="51"/>
      <c r="O30" s="44"/>
    </row>
    <row r="31" spans="1:15" x14ac:dyDescent="0.2">
      <c r="A31" s="42"/>
      <c r="B31" t="s">
        <v>145</v>
      </c>
      <c r="N31" s="45"/>
      <c r="O31" s="44"/>
    </row>
    <row r="32" spans="1:15" x14ac:dyDescent="0.2">
      <c r="A32" s="42"/>
      <c r="B32" s="47" t="s">
        <v>146</v>
      </c>
      <c r="N32" s="45"/>
      <c r="O32" s="44"/>
    </row>
    <row r="33" spans="1:15" x14ac:dyDescent="0.2">
      <c r="A33" s="42"/>
      <c r="B33" s="47" t="s">
        <v>147</v>
      </c>
      <c r="N33" s="45"/>
      <c r="O33" s="44"/>
    </row>
    <row r="34" spans="1:15" x14ac:dyDescent="0.2">
      <c r="A34" s="42"/>
      <c r="B34" s="47" t="s">
        <v>148</v>
      </c>
      <c r="N34" s="45"/>
      <c r="O34" s="44"/>
    </row>
    <row r="35" spans="1:15" x14ac:dyDescent="0.2">
      <c r="A35" s="42"/>
      <c r="B35" s="47" t="s">
        <v>149</v>
      </c>
      <c r="N35" s="45"/>
      <c r="O35" s="44"/>
    </row>
    <row r="36" spans="1:15" x14ac:dyDescent="0.2">
      <c r="A36" s="42"/>
      <c r="B36"/>
      <c r="N36" s="45"/>
      <c r="O36" s="44"/>
    </row>
    <row r="37" spans="1:15" x14ac:dyDescent="0.2">
      <c r="A37" s="42"/>
      <c r="B37" s="47" t="s">
        <v>120</v>
      </c>
      <c r="C37" s="47"/>
      <c r="D37" s="47"/>
      <c r="E37" s="47"/>
      <c r="F37" s="47"/>
      <c r="G37" s="47"/>
      <c r="H37" s="47"/>
      <c r="I37" s="47"/>
      <c r="J37" s="47"/>
      <c r="K37" s="47"/>
      <c r="L37" s="47"/>
      <c r="M37" s="47"/>
      <c r="N37" s="45"/>
      <c r="O37" s="44"/>
    </row>
    <row r="38" spans="1:15" x14ac:dyDescent="0.2">
      <c r="A38" s="42"/>
      <c r="B38" s="920"/>
      <c r="C38" s="921"/>
      <c r="D38" s="921"/>
      <c r="E38" s="921"/>
      <c r="F38" s="921"/>
      <c r="G38" s="921"/>
      <c r="H38" s="921"/>
      <c r="I38" s="921"/>
      <c r="J38" s="921"/>
      <c r="K38" s="921"/>
      <c r="L38" s="921"/>
      <c r="M38" s="921"/>
      <c r="N38" s="45"/>
      <c r="O38" s="1"/>
    </row>
    <row r="39" spans="1:15" x14ac:dyDescent="0.2">
      <c r="A39" s="42"/>
      <c r="B39" s="921"/>
      <c r="C39" s="921"/>
      <c r="D39" s="921"/>
      <c r="E39" s="921"/>
      <c r="F39" s="921"/>
      <c r="G39" s="921"/>
      <c r="H39" s="921"/>
      <c r="I39" s="921"/>
      <c r="J39" s="921"/>
      <c r="K39" s="921"/>
      <c r="L39" s="921"/>
      <c r="M39" s="921"/>
      <c r="N39" s="45"/>
      <c r="O39" s="44"/>
    </row>
    <row r="40" spans="1:15" x14ac:dyDescent="0.2">
      <c r="A40" s="42"/>
      <c r="B40" s="921"/>
      <c r="C40" s="921"/>
      <c r="D40" s="921"/>
      <c r="E40" s="921"/>
      <c r="F40" s="921"/>
      <c r="G40" s="921"/>
      <c r="H40" s="921"/>
      <c r="I40" s="921"/>
      <c r="J40" s="921"/>
      <c r="K40" s="921"/>
      <c r="L40" s="921"/>
      <c r="M40" s="921"/>
      <c r="N40" s="45"/>
      <c r="O40" s="44"/>
    </row>
    <row r="41" spans="1:15" x14ac:dyDescent="0.2">
      <c r="A41" s="42"/>
      <c r="B41" s="921"/>
      <c r="C41" s="921"/>
      <c r="D41" s="921"/>
      <c r="E41" s="921"/>
      <c r="F41" s="921"/>
      <c r="G41" s="921"/>
      <c r="H41" s="921"/>
      <c r="I41" s="921"/>
      <c r="J41" s="921"/>
      <c r="K41" s="921"/>
      <c r="L41" s="921"/>
      <c r="M41" s="921"/>
      <c r="N41" s="45"/>
      <c r="O41" s="44"/>
    </row>
    <row r="42" spans="1:15" x14ac:dyDescent="0.2">
      <c r="A42" s="42"/>
      <c r="B42" s="921"/>
      <c r="C42" s="921"/>
      <c r="D42" s="921"/>
      <c r="E42" s="921"/>
      <c r="F42" s="921"/>
      <c r="G42" s="921"/>
      <c r="H42" s="921"/>
      <c r="I42" s="921"/>
      <c r="J42" s="921"/>
      <c r="K42" s="921"/>
      <c r="L42" s="921"/>
      <c r="M42" s="921"/>
      <c r="N42" s="45"/>
      <c r="O42" s="44"/>
    </row>
    <row r="43" spans="1:15" x14ac:dyDescent="0.2">
      <c r="A43" s="42"/>
      <c r="B43" s="921"/>
      <c r="C43" s="921"/>
      <c r="D43" s="921"/>
      <c r="E43" s="921"/>
      <c r="F43" s="921"/>
      <c r="G43" s="921"/>
      <c r="H43" s="921"/>
      <c r="I43" s="921"/>
      <c r="J43" s="921"/>
      <c r="K43" s="921"/>
      <c r="L43" s="921"/>
      <c r="M43" s="921"/>
      <c r="N43" s="45"/>
      <c r="O43" s="44"/>
    </row>
    <row r="44" spans="1:15" x14ac:dyDescent="0.2">
      <c r="A44" s="42"/>
      <c r="B44" s="921"/>
      <c r="C44" s="921"/>
      <c r="D44" s="921"/>
      <c r="E44" s="921"/>
      <c r="F44" s="921"/>
      <c r="G44" s="921"/>
      <c r="H44" s="921"/>
      <c r="I44" s="921"/>
      <c r="J44" s="921"/>
      <c r="K44" s="921"/>
      <c r="L44" s="921"/>
      <c r="M44" s="921"/>
      <c r="N44" s="45"/>
      <c r="O44" s="44"/>
    </row>
    <row r="45" spans="1:15" x14ac:dyDescent="0.2">
      <c r="A45" s="42"/>
      <c r="B45" s="921"/>
      <c r="C45" s="921"/>
      <c r="D45" s="921"/>
      <c r="E45" s="921"/>
      <c r="F45" s="921"/>
      <c r="G45" s="921"/>
      <c r="H45" s="921"/>
      <c r="I45" s="921"/>
      <c r="J45" s="921"/>
      <c r="K45" s="921"/>
      <c r="L45" s="921"/>
      <c r="M45" s="921"/>
      <c r="N45" s="45"/>
      <c r="O45" s="44"/>
    </row>
    <row r="46" spans="1:15" x14ac:dyDescent="0.2">
      <c r="A46" s="42"/>
      <c r="B46" s="921"/>
      <c r="C46" s="921"/>
      <c r="D46" s="921"/>
      <c r="E46" s="921"/>
      <c r="F46" s="921"/>
      <c r="G46" s="921"/>
      <c r="H46" s="921"/>
      <c r="I46" s="921"/>
      <c r="J46" s="921"/>
      <c r="K46" s="921"/>
      <c r="L46" s="921"/>
      <c r="M46" s="921"/>
      <c r="N46" s="45"/>
      <c r="O46" s="44"/>
    </row>
    <row r="47" spans="1:15" x14ac:dyDescent="0.2">
      <c r="A47" s="42"/>
      <c r="B47" s="921"/>
      <c r="C47" s="921"/>
      <c r="D47" s="921"/>
      <c r="E47" s="921"/>
      <c r="F47" s="921"/>
      <c r="G47" s="921"/>
      <c r="H47" s="921"/>
      <c r="I47" s="921"/>
      <c r="J47" s="921"/>
      <c r="K47" s="921"/>
      <c r="L47" s="921"/>
      <c r="M47" s="921"/>
      <c r="N47" s="45"/>
      <c r="O47" s="44"/>
    </row>
    <row r="48" spans="1:15" x14ac:dyDescent="0.2">
      <c r="A48" s="42"/>
      <c r="B48" s="921"/>
      <c r="C48" s="921"/>
      <c r="D48" s="921"/>
      <c r="E48" s="921"/>
      <c r="F48" s="921"/>
      <c r="G48" s="921"/>
      <c r="H48" s="921"/>
      <c r="I48" s="921"/>
      <c r="J48" s="921"/>
      <c r="K48" s="921"/>
      <c r="L48" s="921"/>
      <c r="M48" s="921"/>
      <c r="N48" s="45"/>
      <c r="O48" s="44"/>
    </row>
    <row r="49" spans="1:15" x14ac:dyDescent="0.2">
      <c r="A49" s="42"/>
      <c r="B49" s="921"/>
      <c r="C49" s="921"/>
      <c r="D49" s="921"/>
      <c r="E49" s="921"/>
      <c r="F49" s="921"/>
      <c r="G49" s="921"/>
      <c r="H49" s="921"/>
      <c r="I49" s="921"/>
      <c r="J49" s="921"/>
      <c r="K49" s="921"/>
      <c r="L49" s="921"/>
      <c r="M49" s="921"/>
      <c r="N49" s="45"/>
      <c r="O49" s="44"/>
    </row>
    <row r="50" spans="1:15" x14ac:dyDescent="0.2">
      <c r="A50" s="42"/>
      <c r="B50" s="921"/>
      <c r="C50" s="921"/>
      <c r="D50" s="921"/>
      <c r="E50" s="921"/>
      <c r="F50" s="921"/>
      <c r="G50" s="921"/>
      <c r="H50" s="921"/>
      <c r="I50" s="921"/>
      <c r="J50" s="921"/>
      <c r="K50" s="921"/>
      <c r="L50" s="921"/>
      <c r="M50" s="921"/>
      <c r="N50" s="45"/>
      <c r="O50" s="44"/>
    </row>
    <row r="51" spans="1:15" x14ac:dyDescent="0.2">
      <c r="A51" s="42"/>
      <c r="B51" s="921"/>
      <c r="C51" s="921"/>
      <c r="D51" s="921"/>
      <c r="E51" s="921"/>
      <c r="F51" s="921"/>
      <c r="G51" s="921"/>
      <c r="H51" s="921"/>
      <c r="I51" s="921"/>
      <c r="J51" s="921"/>
      <c r="K51" s="921"/>
      <c r="L51" s="921"/>
      <c r="M51" s="921"/>
      <c r="N51" s="45"/>
      <c r="O51" s="44"/>
    </row>
    <row r="52" spans="1:15" x14ac:dyDescent="0.2">
      <c r="A52" s="42"/>
      <c r="B52" s="921"/>
      <c r="C52" s="921"/>
      <c r="D52" s="921"/>
      <c r="E52" s="921"/>
      <c r="F52" s="921"/>
      <c r="G52" s="921"/>
      <c r="H52" s="921"/>
      <c r="I52" s="921"/>
      <c r="J52" s="921"/>
      <c r="K52" s="921"/>
      <c r="L52" s="921"/>
      <c r="M52" s="921"/>
      <c r="N52" s="45"/>
      <c r="O52" s="44"/>
    </row>
    <row r="53" spans="1:15" x14ac:dyDescent="0.2">
      <c r="A53" s="42"/>
      <c r="B53" s="921"/>
      <c r="C53" s="921"/>
      <c r="D53" s="921"/>
      <c r="E53" s="921"/>
      <c r="F53" s="921"/>
      <c r="G53" s="921"/>
      <c r="H53" s="921"/>
      <c r="I53" s="921"/>
      <c r="J53" s="921"/>
      <c r="K53" s="921"/>
      <c r="L53" s="921"/>
      <c r="M53" s="921"/>
      <c r="N53" s="45"/>
      <c r="O53" s="44"/>
    </row>
    <row r="54" spans="1:15" x14ac:dyDescent="0.2">
      <c r="A54" s="42"/>
      <c r="B54" s="921"/>
      <c r="C54" s="921"/>
      <c r="D54" s="921"/>
      <c r="E54" s="921"/>
      <c r="F54" s="921"/>
      <c r="G54" s="921"/>
      <c r="H54" s="921"/>
      <c r="I54" s="921"/>
      <c r="J54" s="921"/>
      <c r="K54" s="921"/>
      <c r="L54" s="921"/>
      <c r="M54" s="921"/>
      <c r="N54" s="45"/>
      <c r="O54" s="44"/>
    </row>
    <row r="55" spans="1:15" x14ac:dyDescent="0.2">
      <c r="A55" s="42"/>
      <c r="B55" s="921"/>
      <c r="C55" s="921"/>
      <c r="D55" s="921"/>
      <c r="E55" s="921"/>
      <c r="F55" s="921"/>
      <c r="G55" s="921"/>
      <c r="H55" s="921"/>
      <c r="I55" s="921"/>
      <c r="J55" s="921"/>
      <c r="K55" s="921"/>
      <c r="L55" s="921"/>
      <c r="M55" s="921"/>
      <c r="N55" s="45"/>
      <c r="O55" s="44"/>
    </row>
    <row r="56" spans="1:15" x14ac:dyDescent="0.2">
      <c r="A56" s="42"/>
      <c r="B56" s="921"/>
      <c r="C56" s="921"/>
      <c r="D56" s="921"/>
      <c r="E56" s="921"/>
      <c r="F56" s="921"/>
      <c r="G56" s="921"/>
      <c r="H56" s="921"/>
      <c r="I56" s="921"/>
      <c r="J56" s="921"/>
      <c r="K56" s="921"/>
      <c r="L56" s="921"/>
      <c r="M56" s="921"/>
      <c r="N56" s="45"/>
      <c r="O56" s="44"/>
    </row>
    <row r="57" spans="1:15" x14ac:dyDescent="0.2">
      <c r="A57" s="42"/>
      <c r="N57" s="45"/>
      <c r="O57" s="44"/>
    </row>
    <row r="58" spans="1:15" x14ac:dyDescent="0.2">
      <c r="A58" s="42"/>
      <c r="N58" s="45"/>
      <c r="O58" s="44"/>
    </row>
    <row r="59" spans="1:15" x14ac:dyDescent="0.2">
      <c r="A59" s="42"/>
      <c r="J59" s="922"/>
      <c r="K59" s="922"/>
      <c r="L59" s="922"/>
      <c r="M59" s="78"/>
      <c r="N59" s="45"/>
      <c r="O59" s="44"/>
    </row>
    <row r="60" spans="1:15" x14ac:dyDescent="0.2">
      <c r="A60" s="42"/>
      <c r="I60" s="57"/>
      <c r="N60" s="45"/>
      <c r="O60" s="44"/>
    </row>
    <row r="61" spans="1:15" x14ac:dyDescent="0.2">
      <c r="A61" s="42"/>
      <c r="N61" s="45"/>
      <c r="O61" s="44"/>
    </row>
    <row r="62" spans="1:15" x14ac:dyDescent="0.2">
      <c r="A62" s="42"/>
      <c r="B62" s="916"/>
      <c r="C62" s="812"/>
      <c r="D62" s="812"/>
      <c r="E62" s="812"/>
      <c r="F62" s="812"/>
      <c r="G62" s="812"/>
      <c r="H62" s="812"/>
      <c r="I62" s="812"/>
      <c r="K62" s="916"/>
      <c r="L62" s="812"/>
      <c r="M62" s="812"/>
      <c r="N62" s="45"/>
      <c r="O62" s="44"/>
    </row>
    <row r="63" spans="1:15" x14ac:dyDescent="0.2">
      <c r="A63" s="42"/>
      <c r="B63" s="47" t="s">
        <v>69</v>
      </c>
      <c r="C63"/>
      <c r="D63"/>
      <c r="E63"/>
      <c r="F63"/>
      <c r="G63"/>
      <c r="H63"/>
      <c r="I63"/>
      <c r="J63"/>
      <c r="K63" s="914" t="s">
        <v>121</v>
      </c>
      <c r="L63" s="914"/>
      <c r="M63" s="914"/>
      <c r="N63" s="45"/>
      <c r="O63" s="44"/>
    </row>
    <row r="64" spans="1:15" x14ac:dyDescent="0.2">
      <c r="A64" s="58"/>
      <c r="B64" s="90"/>
      <c r="C64" s="90"/>
      <c r="D64" s="90"/>
      <c r="E64" s="90"/>
      <c r="F64" s="90"/>
      <c r="G64" s="90"/>
      <c r="H64" s="90"/>
      <c r="I64" s="90"/>
      <c r="J64" s="91"/>
      <c r="K64" s="915" t="s">
        <v>122</v>
      </c>
      <c r="L64" s="915"/>
      <c r="M64" s="915"/>
      <c r="N64" s="59"/>
      <c r="O64" s="44"/>
    </row>
  </sheetData>
  <sheetProtection algorithmName="SHA-512" hashValue="be+fkYb1xAaDIHobULmsC/lVONC1/oegzavruC2RGcbNk5Ql+0godrP6mlnOboEpa+C6NKG0YfSlYbFB9VfPng==" saltValue="3FW7yJMzIYMAv4d4Cl4nwQ==" spinCount="100000" sheet="1" selectLockedCells="1"/>
  <mergeCells count="17">
    <mergeCell ref="K63:M63"/>
    <mergeCell ref="K64:M64"/>
    <mergeCell ref="K62:M62"/>
    <mergeCell ref="B62:I62"/>
    <mergeCell ref="B8:M8"/>
    <mergeCell ref="F20:L20"/>
    <mergeCell ref="F24:L24"/>
    <mergeCell ref="B38:M56"/>
    <mergeCell ref="J59:L59"/>
    <mergeCell ref="F22:L22"/>
    <mergeCell ref="F26:L26"/>
    <mergeCell ref="A1:N1"/>
    <mergeCell ref="A2:N2"/>
    <mergeCell ref="A3:N3"/>
    <mergeCell ref="A4:N4"/>
    <mergeCell ref="B6:G6"/>
    <mergeCell ref="L6:M6"/>
  </mergeCells>
  <pageMargins left="0.70866141732283472" right="0.70866141732283472" top="0.78740157480314965" bottom="0.78740157480314965" header="0.31496062992125984" footer="0.31496062992125984"/>
  <pageSetup paperSize="9" scale="79" orientation="portrait"/>
  <headerFooter>
    <oddHeader>&amp;C&amp;9Bewohnervertretung</oddHeader>
    <oddFooter>&amp;L&amp;8Version: 22.11.2024&amp;C&amp;8Verhandlungsunterlagen SGB XI (B3 vereinfacht)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FCD51-2F1D-40EF-98B5-41478302FDB9}">
  <sheetPr>
    <pageSetUpPr fitToPage="1"/>
  </sheetPr>
  <dimension ref="A1:M52"/>
  <sheetViews>
    <sheetView showGridLines="0" zoomScaleNormal="100" workbookViewId="0">
      <selection activeCell="B45" sqref="B45:J46"/>
    </sheetView>
  </sheetViews>
  <sheetFormatPr baseColWidth="10" defaultRowHeight="14.25" x14ac:dyDescent="0.2"/>
  <cols>
    <col min="1" max="1" width="1.5" customWidth="1"/>
    <col min="2" max="2" width="24.125" customWidth="1"/>
    <col min="3" max="12" width="13.625" customWidth="1"/>
    <col min="13" max="13" width="1.625" customWidth="1"/>
  </cols>
  <sheetData>
    <row r="1" spans="1:13" ht="15" x14ac:dyDescent="0.25">
      <c r="A1" s="928" t="str">
        <f>'B3_Allgemeine Angaben'!A1</f>
        <v>Vereinfachtes Verfahren der Aufforderung zum Abschluss einer Pflegesatzvereinbarung gemäß   § 84, 85 SGB XI</v>
      </c>
      <c r="B1" s="929"/>
      <c r="C1" s="929"/>
      <c r="D1" s="929"/>
      <c r="E1" s="929"/>
      <c r="F1" s="929"/>
      <c r="G1" s="929"/>
      <c r="H1" s="929"/>
      <c r="I1" s="929"/>
      <c r="J1" s="929"/>
      <c r="K1" s="929"/>
      <c r="L1" s="929"/>
      <c r="M1" s="659"/>
    </row>
    <row r="2" spans="1:13" ht="15" x14ac:dyDescent="0.25">
      <c r="A2" s="930" t="s">
        <v>504</v>
      </c>
      <c r="B2" s="853"/>
      <c r="C2" s="853"/>
      <c r="D2" s="853"/>
      <c r="E2" s="853"/>
      <c r="F2" s="853"/>
      <c r="G2" s="853"/>
      <c r="H2" s="853"/>
      <c r="I2" s="853"/>
      <c r="J2" s="853"/>
      <c r="K2" s="853"/>
      <c r="L2" s="853"/>
      <c r="M2" s="269"/>
    </row>
    <row r="3" spans="1:13" x14ac:dyDescent="0.2">
      <c r="A3" s="660"/>
      <c r="B3" s="248" t="s">
        <v>505</v>
      </c>
      <c r="C3" s="248" t="s">
        <v>506</v>
      </c>
      <c r="D3" s="248"/>
      <c r="E3" s="248"/>
      <c r="F3" s="248"/>
      <c r="G3" s="248"/>
      <c r="H3" s="248"/>
      <c r="I3" s="248"/>
      <c r="J3" s="248"/>
      <c r="K3" s="248"/>
      <c r="L3" s="248"/>
      <c r="M3" s="269"/>
    </row>
    <row r="4" spans="1:13" x14ac:dyDescent="0.2">
      <c r="A4" s="304"/>
      <c r="B4" s="268"/>
      <c r="C4" s="268"/>
      <c r="D4" s="268"/>
      <c r="E4" s="268"/>
      <c r="F4" s="268"/>
      <c r="G4" s="268"/>
      <c r="H4" s="268"/>
      <c r="I4" s="268"/>
      <c r="J4" s="268"/>
      <c r="K4" s="268"/>
      <c r="L4" s="268"/>
      <c r="M4" s="269"/>
    </row>
    <row r="5" spans="1:13" s="654" customFormat="1" ht="12.75" x14ac:dyDescent="0.2">
      <c r="A5" s="661"/>
      <c r="B5" s="931" t="s">
        <v>135</v>
      </c>
      <c r="C5" s="931"/>
      <c r="D5" s="931"/>
      <c r="E5" s="656"/>
      <c r="F5" s="656" t="s">
        <v>508</v>
      </c>
      <c r="G5" s="932" t="str">
        <f>IF('B3_Allgemeine Angaben'!D6:D6&gt;0,'B3_Allgemeine Angaben'!D6:D6,"")</f>
        <v/>
      </c>
      <c r="H5" s="932"/>
      <c r="I5" s="932"/>
      <c r="J5" s="656"/>
      <c r="K5" s="656"/>
      <c r="L5" s="656"/>
      <c r="M5" s="662"/>
    </row>
    <row r="6" spans="1:13" s="654" customFormat="1" ht="12.75" x14ac:dyDescent="0.2">
      <c r="A6" s="661"/>
      <c r="B6" s="923" t="str">
        <f>IF('B3_Allgemeine Angaben'!D12:D12&gt;0,'B3_Allgemeine Angaben'!D12:D12,"")</f>
        <v/>
      </c>
      <c r="C6" s="923"/>
      <c r="D6" s="923"/>
      <c r="E6" s="656"/>
      <c r="F6" s="656" t="s">
        <v>509</v>
      </c>
      <c r="G6" s="923" t="str">
        <f>IF('B3_Allgemeine Angaben'!D18:D18&gt;0,'B3_Allgemeine Angaben'!D18:D18,"")</f>
        <v/>
      </c>
      <c r="H6" s="923"/>
      <c r="I6" s="923"/>
      <c r="J6" s="656"/>
      <c r="K6" s="656"/>
      <c r="L6" s="656"/>
      <c r="M6" s="662"/>
    </row>
    <row r="7" spans="1:13" s="654" customFormat="1" ht="12.75" x14ac:dyDescent="0.2">
      <c r="A7" s="661"/>
      <c r="B7" s="923" t="str">
        <f>IF('B3_Allgemeine Angaben'!D14:D14&gt;0,'B3_Allgemeine Angaben'!D14:D14,"")</f>
        <v/>
      </c>
      <c r="C7" s="923"/>
      <c r="D7" s="923"/>
      <c r="E7" s="656"/>
      <c r="F7" s="656" t="s">
        <v>510</v>
      </c>
      <c r="G7" s="923" t="str">
        <f>IF('B3_Allgemeine Angaben'!J18:J18&gt;0,'B3_Allgemeine Angaben'!J18:J18,"")</f>
        <v/>
      </c>
      <c r="H7" s="923"/>
      <c r="I7" s="923"/>
      <c r="J7" s="656"/>
      <c r="K7" s="656"/>
      <c r="L7" s="656"/>
      <c r="M7" s="662"/>
    </row>
    <row r="8" spans="1:13" s="654" customFormat="1" ht="12.75" x14ac:dyDescent="0.2">
      <c r="A8" s="661"/>
      <c r="B8" s="923" t="str">
        <f>IF('B3_Allgemeine Angaben'!D16:D16&gt;0,'B3_Allgemeine Angaben'!D16:D16,"")</f>
        <v/>
      </c>
      <c r="C8" s="923"/>
      <c r="D8" s="923"/>
      <c r="E8" s="656"/>
      <c r="F8" s="656" t="s">
        <v>511</v>
      </c>
      <c r="G8" s="923" t="str">
        <f>IF('B3_Allgemeine Angaben'!D20:D20&gt;0,'B3_Allgemeine Angaben'!D20:D20,"")</f>
        <v/>
      </c>
      <c r="H8" s="923"/>
      <c r="I8" s="923"/>
      <c r="J8" s="656"/>
      <c r="K8" s="656"/>
      <c r="L8" s="656"/>
      <c r="M8" s="662"/>
    </row>
    <row r="9" spans="1:13" s="654" customFormat="1" ht="12.75" x14ac:dyDescent="0.2">
      <c r="A9" s="661"/>
      <c r="B9" s="654" t="s">
        <v>512</v>
      </c>
      <c r="C9" s="663">
        <f>'B3_Allgemeine Angaben'!L6:L6</f>
        <v>0</v>
      </c>
      <c r="D9" s="664"/>
      <c r="E9" s="656"/>
      <c r="F9" s="656"/>
      <c r="G9" s="656"/>
      <c r="H9" s="656"/>
      <c r="I9" s="656"/>
      <c r="J9" s="656"/>
      <c r="K9" s="656"/>
      <c r="L9" s="656"/>
      <c r="M9" s="662"/>
    </row>
    <row r="10" spans="1:13" s="654" customFormat="1" ht="12.75" x14ac:dyDescent="0.2">
      <c r="A10" s="661"/>
      <c r="B10" s="931" t="s">
        <v>507</v>
      </c>
      <c r="C10" s="931"/>
      <c r="D10" s="931"/>
      <c r="E10" s="656"/>
      <c r="F10" s="656"/>
      <c r="G10" s="656"/>
      <c r="H10" s="656"/>
      <c r="I10" s="656"/>
      <c r="J10" s="656"/>
      <c r="K10" s="656"/>
      <c r="L10" s="656"/>
      <c r="M10" s="662"/>
    </row>
    <row r="11" spans="1:13" s="654" customFormat="1" ht="12.75" x14ac:dyDescent="0.2">
      <c r="A11" s="661"/>
      <c r="B11" s="923" t="str">
        <f>IF('B3_Allgemeine Angaben'!D26:D26&gt;0,'B3_Allgemeine Angaben'!D26:D26,"")</f>
        <v/>
      </c>
      <c r="C11" s="923"/>
      <c r="D11" s="923"/>
      <c r="E11" s="656"/>
      <c r="F11" s="656" t="s">
        <v>509</v>
      </c>
      <c r="G11" s="923" t="str">
        <f>IF('B3_Allgemeine Angaben'!D32:D32&gt;0,'B3_Allgemeine Angaben'!D32:D32,"")</f>
        <v/>
      </c>
      <c r="H11" s="923"/>
      <c r="I11" s="923"/>
      <c r="J11" s="656"/>
      <c r="K11" s="656"/>
      <c r="L11" s="656"/>
      <c r="M11" s="662"/>
    </row>
    <row r="12" spans="1:13" s="654" customFormat="1" ht="12.75" x14ac:dyDescent="0.2">
      <c r="A12" s="661"/>
      <c r="B12" s="923" t="str">
        <f>IF('B3_Allgemeine Angaben'!D28:D28&gt;0,'B3_Allgemeine Angaben'!D28:D28,"")</f>
        <v/>
      </c>
      <c r="C12" s="923"/>
      <c r="D12" s="923"/>
      <c r="E12" s="656"/>
      <c r="F12" s="656" t="s">
        <v>510</v>
      </c>
      <c r="G12" s="923" t="str">
        <f>IF('B3_Allgemeine Angaben'!J32:J32&gt;0,'B3_Allgemeine Angaben'!J32:J32,"")</f>
        <v/>
      </c>
      <c r="H12" s="923"/>
      <c r="I12" s="923"/>
      <c r="J12" s="656"/>
      <c r="K12" s="656"/>
      <c r="L12" s="656"/>
      <c r="M12" s="662"/>
    </row>
    <row r="13" spans="1:13" s="654" customFormat="1" ht="12.75" x14ac:dyDescent="0.2">
      <c r="A13" s="661"/>
      <c r="B13" s="923" t="str">
        <f>IF('B3_Allgemeine Angaben'!D30:D30&gt;0,'B3_Allgemeine Angaben'!D30:D30,"")</f>
        <v/>
      </c>
      <c r="C13" s="923"/>
      <c r="D13" s="923"/>
      <c r="E13" s="656"/>
      <c r="F13" s="656" t="s">
        <v>511</v>
      </c>
      <c r="G13" s="923" t="str">
        <f>IF('B3_Allgemeine Angaben'!D34:D34&gt;0,'B3_Allgemeine Angaben'!D34:D34,"")</f>
        <v/>
      </c>
      <c r="H13" s="923"/>
      <c r="I13" s="923"/>
      <c r="J13" s="656"/>
      <c r="K13" s="656"/>
      <c r="L13" s="656"/>
      <c r="M13" s="662"/>
    </row>
    <row r="14" spans="1:13" s="654" customFormat="1" ht="12.75" x14ac:dyDescent="0.2">
      <c r="A14" s="661"/>
      <c r="B14" s="656"/>
      <c r="C14" s="656"/>
      <c r="D14" s="656"/>
      <c r="E14" s="656"/>
      <c r="F14" s="656"/>
      <c r="G14" s="656"/>
      <c r="H14" s="656"/>
      <c r="I14" s="656"/>
      <c r="J14" s="656"/>
      <c r="K14" s="656"/>
      <c r="L14" s="656"/>
      <c r="M14" s="662"/>
    </row>
    <row r="15" spans="1:13" s="654" customFormat="1" ht="12.75" x14ac:dyDescent="0.2">
      <c r="A15" s="661"/>
      <c r="B15" s="703" t="s">
        <v>513</v>
      </c>
      <c r="C15" s="665"/>
      <c r="D15" s="665"/>
      <c r="E15" s="666" t="s">
        <v>514</v>
      </c>
      <c r="F15" s="667" t="str">
        <f>IF('B3_Allgemeine Angaben'!H52&gt;0,'B3_Allgemeine Angaben'!H52,"")</f>
        <v/>
      </c>
      <c r="G15" s="666" t="s">
        <v>20</v>
      </c>
      <c r="H15" s="667" t="str">
        <f>IF('B3_Allgemeine Angaben'!K52&gt;0,'B3_Allgemeine Angaben'!K52,"")</f>
        <v/>
      </c>
      <c r="I15" s="657"/>
      <c r="J15" s="656"/>
      <c r="K15" s="656"/>
      <c r="L15" s="656"/>
      <c r="M15" s="662"/>
    </row>
    <row r="16" spans="1:13" x14ac:dyDescent="0.2">
      <c r="A16" s="304"/>
      <c r="B16" s="268"/>
      <c r="C16" s="268"/>
      <c r="D16" s="268"/>
      <c r="E16" s="268"/>
      <c r="F16" s="268"/>
      <c r="G16" s="268"/>
      <c r="H16" s="268"/>
      <c r="I16" s="268"/>
      <c r="J16" s="268"/>
      <c r="K16" s="268"/>
      <c r="L16" s="268"/>
      <c r="M16" s="269"/>
    </row>
    <row r="17" spans="1:13" s="654" customFormat="1" ht="12.75" x14ac:dyDescent="0.2">
      <c r="A17" s="661"/>
      <c r="B17" s="668" t="s">
        <v>515</v>
      </c>
      <c r="C17" s="669" t="s">
        <v>516</v>
      </c>
      <c r="D17" s="669" t="s">
        <v>517</v>
      </c>
      <c r="E17" s="669" t="s">
        <v>518</v>
      </c>
      <c r="F17" s="669" t="s">
        <v>519</v>
      </c>
      <c r="G17" s="670" t="s">
        <v>520</v>
      </c>
      <c r="H17" s="671"/>
      <c r="I17" s="656"/>
      <c r="J17" s="656"/>
      <c r="K17" s="656"/>
      <c r="L17" s="656"/>
      <c r="M17" s="662"/>
    </row>
    <row r="18" spans="1:13" x14ac:dyDescent="0.2">
      <c r="A18" s="304"/>
      <c r="B18" s="672" t="s">
        <v>521</v>
      </c>
      <c r="C18" s="672">
        <f>B3_Kalkulation!H14</f>
        <v>0</v>
      </c>
      <c r="D18" s="672">
        <f>B3_Kalkulation!I14</f>
        <v>0</v>
      </c>
      <c r="E18" s="672">
        <f>B3_Kalkulation!J14</f>
        <v>0</v>
      </c>
      <c r="F18" s="672">
        <f>B3_Kalkulation!K14</f>
        <v>0</v>
      </c>
      <c r="G18" s="672">
        <f>B3_Kalkulation!L14</f>
        <v>0</v>
      </c>
      <c r="H18" s="671"/>
      <c r="J18" s="268"/>
      <c r="K18" s="268"/>
      <c r="L18" s="268"/>
      <c r="M18" s="269"/>
    </row>
    <row r="19" spans="1:13" x14ac:dyDescent="0.2">
      <c r="A19" s="304"/>
      <c r="B19" s="268"/>
      <c r="C19" s="268"/>
      <c r="D19" s="268"/>
      <c r="E19" s="268"/>
      <c r="F19" s="268"/>
      <c r="G19" s="268"/>
      <c r="H19" s="268"/>
      <c r="I19" s="268"/>
      <c r="J19" s="268"/>
      <c r="K19" s="268"/>
      <c r="L19" s="268"/>
      <c r="M19" s="269"/>
    </row>
    <row r="20" spans="1:13" x14ac:dyDescent="0.2">
      <c r="A20" s="304"/>
      <c r="B20" s="268"/>
      <c r="C20" s="268"/>
      <c r="D20" s="268"/>
      <c r="E20" s="268"/>
      <c r="F20" s="268"/>
      <c r="G20" s="268"/>
      <c r="H20" s="268"/>
      <c r="I20" s="268"/>
      <c r="J20" s="268"/>
      <c r="K20" s="268"/>
      <c r="L20" s="268"/>
      <c r="M20" s="269"/>
    </row>
    <row r="21" spans="1:13" s="654" customFormat="1" ht="12.75" x14ac:dyDescent="0.2">
      <c r="A21" s="661"/>
      <c r="B21" s="673" t="s">
        <v>522</v>
      </c>
      <c r="C21" s="674"/>
      <c r="D21" s="674"/>
      <c r="E21" s="674"/>
      <c r="F21" s="674"/>
      <c r="G21" s="674"/>
      <c r="H21" s="675"/>
      <c r="J21" s="656"/>
      <c r="K21" s="656"/>
      <c r="L21" s="656"/>
      <c r="M21" s="662"/>
    </row>
    <row r="22" spans="1:13" s="656" customFormat="1" ht="12.75" x14ac:dyDescent="0.2">
      <c r="A22" s="661"/>
      <c r="B22" s="676" t="s">
        <v>523</v>
      </c>
      <c r="C22" s="676" t="s">
        <v>516</v>
      </c>
      <c r="D22" s="676" t="s">
        <v>517</v>
      </c>
      <c r="E22" s="676" t="s">
        <v>518</v>
      </c>
      <c r="F22" s="676" t="s">
        <v>519</v>
      </c>
      <c r="G22" s="676" t="s">
        <v>520</v>
      </c>
      <c r="H22" s="676" t="s">
        <v>524</v>
      </c>
      <c r="M22" s="662"/>
    </row>
    <row r="23" spans="1:13" s="656" customFormat="1" ht="12.75" customHeight="1" x14ac:dyDescent="0.2">
      <c r="A23" s="661"/>
      <c r="B23" s="672" t="s">
        <v>521</v>
      </c>
      <c r="C23" s="677">
        <f>B3_Kalkulation!I17</f>
        <v>0</v>
      </c>
      <c r="D23" s="677">
        <f>B3_Kalkulation!I18</f>
        <v>0</v>
      </c>
      <c r="E23" s="677">
        <f>B3_Kalkulation!I19</f>
        <v>0</v>
      </c>
      <c r="F23" s="677">
        <f>B3_Kalkulation!I20</f>
        <v>0</v>
      </c>
      <c r="G23" s="677">
        <f>B3_Kalkulation!I21</f>
        <v>0</v>
      </c>
      <c r="H23" s="678">
        <f>B3_Kalkulation!I23</f>
        <v>0</v>
      </c>
      <c r="M23" s="662"/>
    </row>
    <row r="24" spans="1:13" x14ac:dyDescent="0.2">
      <c r="A24" s="304"/>
      <c r="B24" s="268"/>
      <c r="C24" s="268"/>
      <c r="D24" s="268"/>
      <c r="E24" s="268"/>
      <c r="F24" s="268"/>
      <c r="G24" s="268"/>
      <c r="H24" s="268"/>
      <c r="I24" s="268"/>
      <c r="J24" s="268"/>
      <c r="K24" s="268"/>
      <c r="L24" s="268"/>
      <c r="M24" s="269"/>
    </row>
    <row r="25" spans="1:13" x14ac:dyDescent="0.2">
      <c r="A25" s="304"/>
      <c r="B25" s="268"/>
      <c r="C25" s="268"/>
      <c r="D25" s="268"/>
      <c r="E25" s="268"/>
      <c r="F25" s="268"/>
      <c r="G25" s="268"/>
      <c r="H25" s="268"/>
      <c r="I25" s="268"/>
      <c r="J25" s="268"/>
      <c r="K25" s="268"/>
      <c r="L25" s="268"/>
      <c r="M25" s="269"/>
    </row>
    <row r="26" spans="1:13" s="654" customFormat="1" ht="38.25" x14ac:dyDescent="0.2">
      <c r="A26" s="661"/>
      <c r="B26" s="679" t="s">
        <v>525</v>
      </c>
      <c r="C26" s="680" t="s">
        <v>140</v>
      </c>
      <c r="D26" s="681" t="s">
        <v>526</v>
      </c>
      <c r="E26" s="680" t="s">
        <v>62</v>
      </c>
      <c r="F26" s="680" t="s">
        <v>32</v>
      </c>
      <c r="G26" s="680" t="s">
        <v>33</v>
      </c>
      <c r="H26" s="681" t="s">
        <v>527</v>
      </c>
      <c r="I26" s="681" t="s">
        <v>528</v>
      </c>
      <c r="J26" s="656"/>
      <c r="K26" s="656"/>
      <c r="L26" s="656"/>
      <c r="M26" s="662"/>
    </row>
    <row r="27" spans="1:13" s="654" customFormat="1" ht="12.75" x14ac:dyDescent="0.2">
      <c r="A27" s="661"/>
      <c r="B27" s="655" t="s">
        <v>521</v>
      </c>
      <c r="C27" s="677">
        <f>B3_Kalkulation!I24</f>
        <v>0</v>
      </c>
      <c r="D27" s="677">
        <f>B3_Kalkulation!I25</f>
        <v>0</v>
      </c>
      <c r="E27" s="677">
        <f>B3_Kalkulation!I26</f>
        <v>0</v>
      </c>
      <c r="F27" s="677">
        <f>B3_Kalkulation!I27</f>
        <v>0</v>
      </c>
      <c r="G27" s="677">
        <f>B3_Kalkulation!I28</f>
        <v>0</v>
      </c>
      <c r="H27" s="677">
        <f>B3_Kalkulation!I30</f>
        <v>20</v>
      </c>
      <c r="I27" s="682">
        <f>B3_Kalkulation!J29</f>
        <v>0</v>
      </c>
      <c r="J27" s="656"/>
      <c r="K27" s="656"/>
      <c r="L27" s="656"/>
      <c r="M27" s="662"/>
    </row>
    <row r="28" spans="1:13" x14ac:dyDescent="0.2">
      <c r="A28" s="304"/>
      <c r="B28" s="268"/>
      <c r="C28" s="268"/>
      <c r="D28" s="268"/>
      <c r="E28" s="268"/>
      <c r="F28" s="268"/>
      <c r="G28" s="268"/>
      <c r="H28" s="683"/>
      <c r="I28" s="268"/>
      <c r="J28" s="268"/>
      <c r="K28" s="268"/>
      <c r="L28" s="268"/>
      <c r="M28" s="269"/>
    </row>
    <row r="29" spans="1:13" x14ac:dyDescent="0.2">
      <c r="A29" s="304"/>
      <c r="B29" s="268"/>
      <c r="C29" s="268"/>
      <c r="D29" s="268"/>
      <c r="E29" s="268"/>
      <c r="F29" s="268"/>
      <c r="G29" s="268"/>
      <c r="H29" s="268"/>
      <c r="I29" s="268"/>
      <c r="J29" s="268"/>
      <c r="K29" s="268"/>
      <c r="L29" s="268"/>
      <c r="M29" s="269"/>
    </row>
    <row r="30" spans="1:13" s="654" customFormat="1" ht="12.75" x14ac:dyDescent="0.2">
      <c r="A30" s="661"/>
      <c r="B30" s="924" t="s">
        <v>529</v>
      </c>
      <c r="C30" s="925"/>
      <c r="D30" s="925"/>
      <c r="E30" s="925"/>
      <c r="F30" s="925"/>
      <c r="G30" s="925"/>
      <c r="H30" s="925"/>
      <c r="I30" s="926"/>
      <c r="J30" s="656"/>
      <c r="K30" s="656"/>
      <c r="L30" s="656"/>
      <c r="M30" s="662"/>
    </row>
    <row r="31" spans="1:13" s="654" customFormat="1" ht="38.25" x14ac:dyDescent="0.2">
      <c r="A31" s="661"/>
      <c r="B31" s="680" t="s">
        <v>530</v>
      </c>
      <c r="C31" s="680" t="s">
        <v>140</v>
      </c>
      <c r="D31" s="681" t="s">
        <v>526</v>
      </c>
      <c r="E31" s="680" t="s">
        <v>62</v>
      </c>
      <c r="F31" s="680" t="s">
        <v>32</v>
      </c>
      <c r="G31" s="680" t="s">
        <v>33</v>
      </c>
      <c r="H31" s="681" t="s">
        <v>527</v>
      </c>
      <c r="I31" s="681" t="s">
        <v>528</v>
      </c>
      <c r="J31" s="656"/>
      <c r="K31" s="656"/>
      <c r="L31" s="656"/>
      <c r="M31" s="662"/>
    </row>
    <row r="32" spans="1:13" s="654" customFormat="1" ht="12.75" x14ac:dyDescent="0.2">
      <c r="A32" s="661"/>
      <c r="B32" s="684">
        <f>B3_Kalkulation!L23</f>
        <v>0</v>
      </c>
      <c r="C32" s="684">
        <f>B3_Kalkulation!L24</f>
        <v>0</v>
      </c>
      <c r="D32" s="684">
        <f>B3_Kalkulation!L25</f>
        <v>0</v>
      </c>
      <c r="E32" s="684">
        <f>B3_Kalkulation!L26</f>
        <v>0</v>
      </c>
      <c r="F32" s="684">
        <f>B3_Kalkulation!L27</f>
        <v>0</v>
      </c>
      <c r="G32" s="684">
        <f>B3_Kalkulation!L28</f>
        <v>0</v>
      </c>
      <c r="H32" s="684">
        <f>B3_Kalkulation!J30</f>
        <v>0</v>
      </c>
      <c r="I32" s="684">
        <f>B3_Kalkulation!J29</f>
        <v>0</v>
      </c>
      <c r="J32" s="656"/>
      <c r="K32" s="656"/>
      <c r="L32" s="656"/>
      <c r="M32" s="662"/>
    </row>
    <row r="33" spans="1:13" s="654" customFormat="1" ht="12.75" x14ac:dyDescent="0.2">
      <c r="A33" s="661"/>
      <c r="B33" s="673" t="s">
        <v>531</v>
      </c>
      <c r="C33" s="685"/>
      <c r="D33" s="685"/>
      <c r="E33" s="685"/>
      <c r="F33" s="685"/>
      <c r="G33" s="685"/>
      <c r="H33" s="685"/>
      <c r="I33" s="685"/>
      <c r="J33" s="685"/>
      <c r="K33" s="685"/>
      <c r="L33" s="686"/>
      <c r="M33" s="687"/>
    </row>
    <row r="34" spans="1:13" s="654" customFormat="1" ht="38.25" x14ac:dyDescent="0.2">
      <c r="A34" s="661"/>
      <c r="B34" s="681" t="str">
        <f>B3_Kalkulation!I33</f>
        <v>Lebensmittel</v>
      </c>
      <c r="C34" s="681" t="str">
        <f>B3_Kalkulation!I34</f>
        <v>pflegerischer Sachbedarf</v>
      </c>
      <c r="D34" s="681" t="str">
        <f>B3_Kalkulation!I35</f>
        <v>Wasser, Energie, Brenntstoffe</v>
      </c>
      <c r="E34" s="681" t="str">
        <f>B3_Kalkulation!I36</f>
        <v>Verwaltungsbedarf</v>
      </c>
      <c r="F34" s="681" t="str">
        <f>B3_Kalkulation!I37</f>
        <v>Zentrale Verwaltungsdienste</v>
      </c>
      <c r="G34" s="681" t="str">
        <f>B3_Kalkulation!I38</f>
        <v>Betreuungsaufwand</v>
      </c>
      <c r="H34" s="681" t="str">
        <f>B3_Kalkulation!I39</f>
        <v>Wirtschaftsbedarf</v>
      </c>
      <c r="I34" s="681" t="str">
        <f>B3_Kalkulation!I40</f>
        <v>Steuern/Abgaben/Versicherungen</v>
      </c>
      <c r="J34" s="681" t="str">
        <f>B3_Kalkulation!I41</f>
        <v>Wartung (keine Instandhaltung)</v>
      </c>
      <c r="K34" s="681" t="str">
        <f>B3_Kalkulation!I42</f>
        <v>sonstige Aufwendungen</v>
      </c>
      <c r="L34" s="681" t="str">
        <f>B3_Kalkulation!I43</f>
        <v>Gesamtsumme:</v>
      </c>
      <c r="M34" s="662"/>
    </row>
    <row r="35" spans="1:13" s="298" customFormat="1" ht="12" x14ac:dyDescent="0.2">
      <c r="A35" s="688"/>
      <c r="B35" s="689">
        <f>B3_Kalkulation!$L33</f>
        <v>0</v>
      </c>
      <c r="C35" s="689">
        <f>B3_Kalkulation!$L34</f>
        <v>0</v>
      </c>
      <c r="D35" s="689">
        <f>B3_Kalkulation!$L35</f>
        <v>0</v>
      </c>
      <c r="E35" s="689">
        <f>B3_Kalkulation!$L36</f>
        <v>0</v>
      </c>
      <c r="F35" s="689">
        <f>B3_Kalkulation!$L37</f>
        <v>0</v>
      </c>
      <c r="G35" s="689">
        <f>B3_Kalkulation!$L38</f>
        <v>0</v>
      </c>
      <c r="H35" s="689">
        <f>B3_Kalkulation!$L39</f>
        <v>0</v>
      </c>
      <c r="I35" s="689">
        <f>B3_Kalkulation!$L40</f>
        <v>0</v>
      </c>
      <c r="J35" s="689">
        <f>B3_Kalkulation!$L41</f>
        <v>0</v>
      </c>
      <c r="K35" s="689">
        <f>B3_Kalkulation!$L42</f>
        <v>0</v>
      </c>
      <c r="L35" s="689">
        <f>B3_Kalkulation!$L43</f>
        <v>0</v>
      </c>
      <c r="M35" s="690"/>
    </row>
    <row r="36" spans="1:13" s="654" customFormat="1" ht="12.75" x14ac:dyDescent="0.2">
      <c r="A36" s="661"/>
      <c r="B36" s="691" t="s">
        <v>532</v>
      </c>
      <c r="C36" s="692"/>
      <c r="D36" s="692"/>
      <c r="E36" s="692"/>
      <c r="F36" s="692"/>
      <c r="G36" s="692"/>
      <c r="H36" s="692"/>
      <c r="I36" s="693"/>
      <c r="J36" s="656"/>
      <c r="K36" s="656"/>
      <c r="L36" s="656"/>
      <c r="M36" s="662"/>
    </row>
    <row r="37" spans="1:13" s="654" customFormat="1" ht="25.5" x14ac:dyDescent="0.2">
      <c r="A37" s="661"/>
      <c r="B37" s="680" t="str">
        <f>B3_Kalkulation!I46</f>
        <v>Küche</v>
      </c>
      <c r="C37" s="680" t="str">
        <f>B3_Kalkulation!I47</f>
        <v>Wäscherei</v>
      </c>
      <c r="D37" s="694" t="s">
        <v>533</v>
      </c>
      <c r="E37" s="680" t="str">
        <f>B3_Kalkulation!I49</f>
        <v>Reinigung</v>
      </c>
      <c r="F37" s="680" t="str">
        <f>B3_Kalkulation!I50</f>
        <v>Verwaltung</v>
      </c>
      <c r="G37" s="680" t="str">
        <f>B3_Kalkulation!I51</f>
        <v>Haustechnik</v>
      </c>
      <c r="H37" s="680" t="str">
        <f>B3_Kalkulation!I52</f>
        <v>sonstiges</v>
      </c>
      <c r="I37" s="680" t="str">
        <f>B3_Kalkulation!I53</f>
        <v>Gesamtsumme:</v>
      </c>
      <c r="J37" s="656"/>
      <c r="K37" s="656"/>
      <c r="L37" s="656"/>
      <c r="M37" s="662"/>
    </row>
    <row r="38" spans="1:13" s="298" customFormat="1" ht="12" x14ac:dyDescent="0.2">
      <c r="A38" s="688"/>
      <c r="B38" s="689">
        <f>B3_Kalkulation!L46</f>
        <v>0</v>
      </c>
      <c r="C38" s="689">
        <f>B3_Kalkulation!L47</f>
        <v>0</v>
      </c>
      <c r="D38" s="695">
        <f>B3_Kalkulation!L48</f>
        <v>0</v>
      </c>
      <c r="E38" s="689">
        <f>B3_Kalkulation!L49</f>
        <v>0</v>
      </c>
      <c r="F38" s="689">
        <f>B3_Kalkulation!L50</f>
        <v>0</v>
      </c>
      <c r="G38" s="689">
        <f>B3_Kalkulation!L51</f>
        <v>0</v>
      </c>
      <c r="H38" s="689">
        <f>B3_Kalkulation!L52</f>
        <v>0</v>
      </c>
      <c r="I38" s="689">
        <f>B3_Kalkulation!L53</f>
        <v>0</v>
      </c>
      <c r="J38" s="696"/>
      <c r="K38" s="696"/>
      <c r="L38" s="696"/>
      <c r="M38" s="690"/>
    </row>
    <row r="39" spans="1:13" x14ac:dyDescent="0.2">
      <c r="A39" s="304"/>
      <c r="B39" s="268"/>
      <c r="C39" s="268"/>
      <c r="D39" s="268"/>
      <c r="E39" s="268"/>
      <c r="F39" s="268"/>
      <c r="G39" s="268"/>
      <c r="H39" s="268"/>
      <c r="I39" s="268"/>
      <c r="J39" s="268"/>
      <c r="K39" s="268"/>
      <c r="L39" s="268"/>
      <c r="M39" s="269"/>
    </row>
    <row r="40" spans="1:13" s="654" customFormat="1" ht="12.75" x14ac:dyDescent="0.2">
      <c r="A40" s="661"/>
      <c r="B40" s="673" t="s">
        <v>539</v>
      </c>
      <c r="C40" s="674"/>
      <c r="D40" s="674"/>
      <c r="E40" s="674"/>
      <c r="F40" s="674"/>
      <c r="G40" s="675"/>
      <c r="H40" s="656"/>
      <c r="I40" s="673" t="s">
        <v>538</v>
      </c>
      <c r="J40" s="685"/>
      <c r="K40" s="685"/>
      <c r="L40" s="686"/>
      <c r="M40" s="662"/>
    </row>
    <row r="41" spans="1:13" s="654" customFormat="1" ht="12.75" x14ac:dyDescent="0.2">
      <c r="A41" s="661"/>
      <c r="B41" s="680" t="s">
        <v>523</v>
      </c>
      <c r="C41" s="680" t="s">
        <v>516</v>
      </c>
      <c r="D41" s="680" t="s">
        <v>517</v>
      </c>
      <c r="E41" s="680" t="s">
        <v>518</v>
      </c>
      <c r="F41" s="680" t="s">
        <v>519</v>
      </c>
      <c r="G41" s="680" t="s">
        <v>520</v>
      </c>
      <c r="H41" s="656"/>
      <c r="I41" s="680" t="s">
        <v>310</v>
      </c>
      <c r="J41" s="680" t="s">
        <v>534</v>
      </c>
      <c r="K41" s="680" t="s">
        <v>535</v>
      </c>
      <c r="L41" s="680" t="s">
        <v>536</v>
      </c>
      <c r="M41" s="662"/>
    </row>
    <row r="42" spans="1:13" s="654" customFormat="1" ht="12.75" x14ac:dyDescent="0.2">
      <c r="A42" s="661"/>
      <c r="B42" s="655" t="s">
        <v>521</v>
      </c>
      <c r="C42" s="697">
        <f>B3_Gesamtkalkulation!H51</f>
        <v>0</v>
      </c>
      <c r="D42" s="697">
        <f>B3_Gesamtkalkulation!J51</f>
        <v>0</v>
      </c>
      <c r="E42" s="697">
        <f>B3_Gesamtkalkulation!L51</f>
        <v>0</v>
      </c>
      <c r="F42" s="697">
        <f>B3_Gesamtkalkulation!N51</f>
        <v>0</v>
      </c>
      <c r="G42" s="697">
        <f>B3_Gesamtkalkulation!P51</f>
        <v>0</v>
      </c>
      <c r="H42" s="698"/>
      <c r="I42" s="697">
        <f>IFERROR(B3_Gesamtkalkulation!R51,0)</f>
        <v>0</v>
      </c>
      <c r="J42" s="697">
        <f>IFERROR(B3_Gesamtkalkulation!T51,0)</f>
        <v>0</v>
      </c>
      <c r="K42" s="697">
        <f>IFERROR(B3_Gesamtkalkulation!V51,0)</f>
        <v>0</v>
      </c>
      <c r="L42" s="699" t="str">
        <f>B3_Kalkulation!L16</f>
        <v/>
      </c>
      <c r="M42" s="662"/>
    </row>
    <row r="43" spans="1:13" x14ac:dyDescent="0.2">
      <c r="A43" s="304"/>
      <c r="B43" s="268"/>
      <c r="C43" s="268"/>
      <c r="D43" s="268"/>
      <c r="E43" s="268"/>
      <c r="F43" s="268"/>
      <c r="G43" s="268"/>
      <c r="H43" s="268"/>
      <c r="I43" s="268"/>
      <c r="J43" s="268"/>
      <c r="K43" s="268"/>
      <c r="L43" s="268"/>
      <c r="M43" s="269"/>
    </row>
    <row r="44" spans="1:13" x14ac:dyDescent="0.2">
      <c r="A44" s="304"/>
      <c r="B44" s="268"/>
      <c r="C44" s="268"/>
      <c r="D44" s="268"/>
      <c r="E44" s="268"/>
      <c r="F44" s="268"/>
      <c r="G44" s="268"/>
      <c r="H44" s="268"/>
      <c r="I44" s="268"/>
      <c r="J44" s="268"/>
      <c r="K44" s="268"/>
      <c r="L44" s="268"/>
      <c r="M44" s="269"/>
    </row>
    <row r="45" spans="1:13" x14ac:dyDescent="0.2">
      <c r="A45" s="304"/>
      <c r="B45" s="927" t="s">
        <v>537</v>
      </c>
      <c r="C45" s="927"/>
      <c r="D45" s="927"/>
      <c r="E45" s="927"/>
      <c r="F45" s="927"/>
      <c r="G45" s="927"/>
      <c r="H45" s="927"/>
      <c r="I45" s="927"/>
      <c r="J45" s="927"/>
      <c r="K45" s="268"/>
      <c r="L45" s="268"/>
      <c r="M45" s="269"/>
    </row>
    <row r="46" spans="1:13" x14ac:dyDescent="0.2">
      <c r="A46" s="304"/>
      <c r="B46" s="927"/>
      <c r="C46" s="927"/>
      <c r="D46" s="927"/>
      <c r="E46" s="927"/>
      <c r="F46" s="927"/>
      <c r="G46" s="927"/>
      <c r="H46" s="927"/>
      <c r="I46" s="927"/>
      <c r="J46" s="927"/>
      <c r="K46" s="268"/>
      <c r="L46" s="268"/>
      <c r="M46" s="269"/>
    </row>
    <row r="47" spans="1:13" x14ac:dyDescent="0.2">
      <c r="A47" s="304"/>
      <c r="B47" s="654"/>
      <c r="C47" s="654"/>
      <c r="D47" s="654"/>
      <c r="E47" s="654"/>
      <c r="F47" s="654"/>
      <c r="G47" s="654"/>
      <c r="H47" s="654"/>
      <c r="I47" s="654"/>
      <c r="J47" s="654"/>
      <c r="K47" s="654"/>
      <c r="L47" s="654"/>
      <c r="M47" s="269"/>
    </row>
    <row r="48" spans="1:13" x14ac:dyDescent="0.2">
      <c r="A48" s="304"/>
      <c r="B48" s="654"/>
      <c r="C48" s="654"/>
      <c r="D48" s="654"/>
      <c r="E48" s="654"/>
      <c r="F48" s="654"/>
      <c r="G48" s="654"/>
      <c r="H48" s="654"/>
      <c r="I48" s="654"/>
      <c r="J48" s="654"/>
      <c r="K48" s="654"/>
      <c r="L48" s="654"/>
      <c r="M48" s="269"/>
    </row>
    <row r="49" spans="1:13" x14ac:dyDescent="0.2">
      <c r="A49" s="304"/>
      <c r="B49" s="268"/>
      <c r="C49" s="268"/>
      <c r="D49" s="268"/>
      <c r="E49" s="268"/>
      <c r="F49" s="268"/>
      <c r="G49" s="268"/>
      <c r="H49" s="268"/>
      <c r="I49" s="268"/>
      <c r="J49" s="268"/>
      <c r="K49" s="268"/>
      <c r="L49" s="268"/>
      <c r="M49" s="269"/>
    </row>
    <row r="50" spans="1:13" x14ac:dyDescent="0.2">
      <c r="A50" s="304"/>
      <c r="B50" s="296"/>
      <c r="C50" s="296"/>
      <c r="D50" s="268"/>
      <c r="E50" s="268"/>
      <c r="F50" s="268"/>
      <c r="G50" s="268"/>
      <c r="H50" s="268"/>
      <c r="I50" s="268"/>
      <c r="J50" s="268"/>
      <c r="K50" s="268"/>
      <c r="L50" s="268"/>
      <c r="M50" s="269"/>
    </row>
    <row r="51" spans="1:13" s="658" customFormat="1" ht="11.25" x14ac:dyDescent="0.2">
      <c r="A51" s="700"/>
      <c r="B51" s="701" t="s">
        <v>540</v>
      </c>
      <c r="C51" s="701"/>
      <c r="D51" s="701"/>
      <c r="E51" s="701"/>
      <c r="F51" s="701"/>
      <c r="G51" s="701"/>
      <c r="H51" s="701"/>
      <c r="I51" s="701"/>
      <c r="J51" s="701"/>
      <c r="K51" s="701"/>
      <c r="L51" s="701"/>
      <c r="M51" s="702"/>
    </row>
    <row r="52" spans="1:13" x14ac:dyDescent="0.2">
      <c r="A52" s="314"/>
      <c r="B52" s="296"/>
      <c r="C52" s="296"/>
      <c r="D52" s="296"/>
      <c r="E52" s="296"/>
      <c r="F52" s="296"/>
      <c r="G52" s="296"/>
      <c r="H52" s="296"/>
      <c r="I52" s="296"/>
      <c r="J52" s="296"/>
      <c r="K52" s="296"/>
      <c r="L52" s="296"/>
      <c r="M52" s="554"/>
    </row>
  </sheetData>
  <sheetProtection algorithmName="SHA-512" hashValue="wXwoE3aZ8YjP+DshzJ/Sqjwz6GwUMd82rVrpGDw8+CaDSrZfd8iq5wLcuW1HlDVcirwnJXoJlfhJB+ID5Gjq+Q==" saltValue="rwnSf46heXrb3GFLFPkP/g==" spinCount="100000" sheet="1" objects="1" scenarios="1"/>
  <mergeCells count="19">
    <mergeCell ref="G11:I11"/>
    <mergeCell ref="G12:I12"/>
    <mergeCell ref="A1:L1"/>
    <mergeCell ref="A2:L2"/>
    <mergeCell ref="B6:D6"/>
    <mergeCell ref="B7:D7"/>
    <mergeCell ref="B8:D8"/>
    <mergeCell ref="B11:D11"/>
    <mergeCell ref="B10:D10"/>
    <mergeCell ref="B5:D5"/>
    <mergeCell ref="G5:I5"/>
    <mergeCell ref="G6:I6"/>
    <mergeCell ref="G7:I7"/>
    <mergeCell ref="G8:I8"/>
    <mergeCell ref="G13:I13"/>
    <mergeCell ref="B30:I30"/>
    <mergeCell ref="B45:J46"/>
    <mergeCell ref="B12:D12"/>
    <mergeCell ref="B13:D13"/>
  </mergeCells>
  <pageMargins left="0.70866141732283472" right="0.70866141732283472" top="0.78740157480314965" bottom="0.78740157480314965" header="0.31496062992125984" footer="0.31496062992125984"/>
  <pageSetup paperSize="9" scale="63" orientation="landscape"/>
  <headerFooter>
    <oddHeader>&amp;CSeite 4</oddHeader>
    <oddFooter>&amp;LVersion: 22.11.2024&amp;CVerhandlungsunterlagen SGB XI (B3 vereinfacht)</oddFooter>
  </headerFooter>
  <extLst>
    <ext xmlns:x14="http://schemas.microsoft.com/office/spreadsheetml/2009/9/main" uri="{78C0D931-6437-407d-A8EE-F0AAD7539E65}">
      <x14:conditionalFormattings>
        <x14:conditionalFormatting xmlns:xm="http://schemas.microsoft.com/office/excel/2006/main">
          <x14:cfRule type="expression" priority="1" id="{C9955D0F-5D52-4DEA-9101-9ACBD1D56746}">
            <xm:f>'B3_Allgemeine Angaben'!$D$7&lt;&gt;"tst"</xm:f>
            <x14:dxf>
              <font>
                <color theme="0"/>
              </font>
              <fill>
                <patternFill patternType="none">
                  <bgColor auto="1"/>
                </patternFill>
              </fill>
            </x14:dxf>
          </x14:cfRule>
          <xm:sqref>L41:L42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D9718-08E9-4263-A968-8DB4585EFE97}">
  <sheetPr>
    <pageSetUpPr fitToPage="1"/>
  </sheetPr>
  <dimension ref="A1:J61"/>
  <sheetViews>
    <sheetView showGridLines="0" zoomScaleNormal="100" workbookViewId="0">
      <selection activeCell="H49" sqref="H49"/>
    </sheetView>
  </sheetViews>
  <sheetFormatPr baseColWidth="10" defaultRowHeight="14.25" x14ac:dyDescent="0.2"/>
  <cols>
    <col min="5" max="5" width="2.875" customWidth="1"/>
    <col min="6" max="6" width="2" customWidth="1"/>
  </cols>
  <sheetData>
    <row r="1" spans="1:9" ht="15" x14ac:dyDescent="0.25">
      <c r="A1" s="256" t="s">
        <v>561</v>
      </c>
      <c r="B1" s="712"/>
      <c r="C1" s="712"/>
      <c r="D1" s="712"/>
      <c r="E1" s="712"/>
      <c r="F1" s="712"/>
      <c r="G1" s="712"/>
      <c r="H1" s="712"/>
      <c r="I1" s="713"/>
    </row>
    <row r="2" spans="1:9" ht="15" x14ac:dyDescent="0.25">
      <c r="A2" s="714" t="s">
        <v>562</v>
      </c>
      <c r="B2" s="715"/>
      <c r="C2" s="715"/>
      <c r="D2" s="715"/>
      <c r="E2" s="715"/>
      <c r="F2" s="715"/>
      <c r="G2" s="715"/>
      <c r="H2" s="715"/>
      <c r="I2" s="716"/>
    </row>
    <row r="3" spans="1:9" ht="15" x14ac:dyDescent="0.25">
      <c r="A3" s="714"/>
      <c r="B3" s="715"/>
      <c r="C3" s="715"/>
      <c r="D3" s="715"/>
      <c r="E3" s="715"/>
      <c r="F3" s="715"/>
      <c r="G3" s="715"/>
      <c r="H3" s="715"/>
      <c r="I3" s="716"/>
    </row>
    <row r="4" spans="1:9" ht="15" x14ac:dyDescent="0.25">
      <c r="A4" s="717"/>
      <c r="B4" s="718"/>
      <c r="C4" s="718"/>
      <c r="D4" s="718"/>
      <c r="E4" s="718"/>
      <c r="F4" s="718"/>
      <c r="G4" s="718"/>
      <c r="H4" s="718"/>
      <c r="I4" s="719"/>
    </row>
    <row r="5" spans="1:9" x14ac:dyDescent="0.2">
      <c r="A5" s="304" t="s">
        <v>169</v>
      </c>
      <c r="B5" s="268"/>
      <c r="C5" s="268"/>
      <c r="D5" s="268"/>
      <c r="E5" s="268"/>
      <c r="F5" s="268"/>
      <c r="G5" s="268"/>
      <c r="H5" s="268"/>
      <c r="I5" s="269"/>
    </row>
    <row r="6" spans="1:9" x14ac:dyDescent="0.2">
      <c r="A6" s="304" t="s">
        <v>563</v>
      </c>
      <c r="B6" s="268"/>
      <c r="C6" s="268"/>
      <c r="D6" s="268"/>
      <c r="E6" s="268"/>
      <c r="F6" s="268"/>
      <c r="G6" s="268"/>
      <c r="H6" s="268"/>
      <c r="I6" s="269"/>
    </row>
    <row r="7" spans="1:9" x14ac:dyDescent="0.2">
      <c r="A7" s="304" t="s">
        <v>564</v>
      </c>
      <c r="B7" s="268"/>
      <c r="C7" s="268"/>
      <c r="D7" s="268"/>
      <c r="E7" s="752"/>
      <c r="F7" s="268"/>
      <c r="G7" s="268"/>
      <c r="H7" s="268"/>
      <c r="I7" s="269"/>
    </row>
    <row r="8" spans="1:9" x14ac:dyDescent="0.2">
      <c r="A8" s="304" t="s">
        <v>565</v>
      </c>
      <c r="B8" s="268"/>
      <c r="C8" s="268"/>
      <c r="D8" s="268"/>
      <c r="E8" s="268"/>
      <c r="F8" s="268"/>
      <c r="G8" s="268"/>
      <c r="H8" s="268"/>
      <c r="I8" s="269"/>
    </row>
    <row r="9" spans="1:9" x14ac:dyDescent="0.2">
      <c r="A9" s="304" t="s">
        <v>566</v>
      </c>
      <c r="B9" s="268"/>
      <c r="C9" s="268"/>
      <c r="D9" s="268"/>
      <c r="E9" s="720" t="s">
        <v>567</v>
      </c>
      <c r="F9" s="268"/>
      <c r="G9" s="268"/>
      <c r="H9" s="268"/>
      <c r="I9" s="269"/>
    </row>
    <row r="10" spans="1:9" x14ac:dyDescent="0.2">
      <c r="A10" s="304" t="s">
        <v>171</v>
      </c>
      <c r="B10" s="268"/>
      <c r="C10" s="268"/>
      <c r="D10" s="268"/>
      <c r="E10" s="268"/>
      <c r="F10" s="268"/>
      <c r="G10" s="268"/>
      <c r="H10" s="268"/>
      <c r="I10" s="269"/>
    </row>
    <row r="11" spans="1:9" x14ac:dyDescent="0.2">
      <c r="A11" s="304"/>
      <c r="B11" s="268"/>
      <c r="C11" s="268"/>
      <c r="D11" s="268"/>
      <c r="E11" s="268"/>
      <c r="F11" s="268"/>
      <c r="G11" s="268"/>
      <c r="H11" s="268"/>
      <c r="I11" s="269"/>
    </row>
    <row r="12" spans="1:9" x14ac:dyDescent="0.2">
      <c r="A12" s="304" t="s">
        <v>172</v>
      </c>
      <c r="B12" s="268"/>
      <c r="C12" s="268"/>
      <c r="D12" s="268"/>
      <c r="E12" s="268"/>
      <c r="F12" s="268"/>
      <c r="G12" s="268"/>
      <c r="H12" s="268"/>
      <c r="I12" s="269"/>
    </row>
    <row r="13" spans="1:9" x14ac:dyDescent="0.2">
      <c r="A13" s="304" t="s">
        <v>173</v>
      </c>
      <c r="B13" s="268"/>
      <c r="C13" s="268"/>
      <c r="D13" s="268"/>
      <c r="E13" s="752"/>
      <c r="F13" s="268"/>
      <c r="G13" s="268"/>
      <c r="H13" s="268"/>
      <c r="I13" s="269"/>
    </row>
    <row r="14" spans="1:9" x14ac:dyDescent="0.2">
      <c r="A14" s="304" t="s">
        <v>174</v>
      </c>
      <c r="B14" s="268"/>
      <c r="C14" s="268"/>
      <c r="D14" s="268"/>
      <c r="E14" s="268"/>
      <c r="F14" s="268"/>
      <c r="G14" s="268"/>
      <c r="H14" s="268"/>
      <c r="I14" s="269"/>
    </row>
    <row r="15" spans="1:9" x14ac:dyDescent="0.2">
      <c r="A15" s="304"/>
      <c r="B15" s="268"/>
      <c r="C15" s="268"/>
      <c r="D15" s="268"/>
      <c r="E15" s="268"/>
      <c r="F15" s="268"/>
      <c r="G15" s="268"/>
      <c r="H15" s="268"/>
      <c r="I15" s="269"/>
    </row>
    <row r="16" spans="1:9" x14ac:dyDescent="0.2">
      <c r="A16" s="304" t="s">
        <v>568</v>
      </c>
      <c r="B16" s="268"/>
      <c r="C16" s="268"/>
      <c r="D16" s="268"/>
      <c r="E16" s="268"/>
      <c r="F16" s="268"/>
      <c r="G16" s="268"/>
      <c r="H16" s="268"/>
      <c r="I16" s="269"/>
    </row>
    <row r="17" spans="1:10" x14ac:dyDescent="0.2">
      <c r="A17" s="304" t="s">
        <v>176</v>
      </c>
      <c r="B17" s="268"/>
      <c r="C17" s="268"/>
      <c r="D17" s="268"/>
      <c r="E17" s="752"/>
      <c r="F17" s="268"/>
      <c r="G17" s="268"/>
      <c r="H17" s="268"/>
      <c r="I17" s="269"/>
    </row>
    <row r="18" spans="1:10" x14ac:dyDescent="0.2">
      <c r="A18" s="304" t="s">
        <v>177</v>
      </c>
      <c r="B18" s="268"/>
      <c r="C18" s="268"/>
      <c r="D18" s="268"/>
      <c r="E18" s="268"/>
      <c r="F18" s="268"/>
      <c r="G18" s="268"/>
      <c r="H18" s="268"/>
      <c r="I18" s="269"/>
    </row>
    <row r="19" spans="1:10" x14ac:dyDescent="0.2">
      <c r="A19" s="304" t="s">
        <v>178</v>
      </c>
      <c r="B19" s="268"/>
      <c r="C19" s="268"/>
      <c r="D19" s="268"/>
      <c r="E19" s="268"/>
      <c r="F19" s="268"/>
      <c r="G19" s="268"/>
      <c r="H19" s="268"/>
      <c r="I19" s="269"/>
    </row>
    <row r="20" spans="1:10" x14ac:dyDescent="0.2">
      <c r="A20" s="304"/>
      <c r="B20" s="268"/>
      <c r="C20" s="268"/>
      <c r="D20" s="268"/>
      <c r="E20" s="268"/>
      <c r="F20" s="268"/>
      <c r="G20" s="268"/>
      <c r="H20" s="268"/>
      <c r="I20" s="269"/>
    </row>
    <row r="21" spans="1:10" x14ac:dyDescent="0.2">
      <c r="A21" s="304" t="s">
        <v>569</v>
      </c>
      <c r="B21" s="268"/>
      <c r="C21" s="268"/>
      <c r="D21" s="268"/>
      <c r="E21" s="268"/>
      <c r="F21" s="268"/>
      <c r="G21" s="268"/>
      <c r="H21" s="268"/>
      <c r="I21" s="269"/>
    </row>
    <row r="22" spans="1:10" x14ac:dyDescent="0.2">
      <c r="A22" s="304" t="s">
        <v>570</v>
      </c>
      <c r="B22" s="268"/>
      <c r="C22" s="268"/>
      <c r="D22" s="268"/>
      <c r="E22" s="752"/>
      <c r="F22" s="268"/>
      <c r="G22" s="720" t="s">
        <v>260</v>
      </c>
      <c r="H22" s="268"/>
      <c r="I22" s="269"/>
    </row>
    <row r="23" spans="1:10" x14ac:dyDescent="0.2">
      <c r="A23" s="304" t="s">
        <v>259</v>
      </c>
      <c r="B23" s="268"/>
      <c r="C23" s="268"/>
      <c r="D23" s="268"/>
      <c r="E23" s="268"/>
      <c r="F23" s="268"/>
      <c r="G23" s="268"/>
      <c r="H23" s="268"/>
      <c r="I23" s="269"/>
    </row>
    <row r="24" spans="1:10" x14ac:dyDescent="0.2">
      <c r="A24" s="304"/>
      <c r="B24" s="268"/>
      <c r="C24" s="268"/>
      <c r="D24" s="268"/>
      <c r="E24" s="268"/>
      <c r="F24" s="268"/>
      <c r="G24" s="268"/>
      <c r="H24" s="268"/>
      <c r="I24" s="269"/>
    </row>
    <row r="25" spans="1:10" x14ac:dyDescent="0.2">
      <c r="A25" s="780" t="s">
        <v>180</v>
      </c>
      <c r="B25" s="268"/>
      <c r="C25" s="268"/>
      <c r="D25" s="268"/>
      <c r="E25" s="268"/>
      <c r="F25" s="268"/>
      <c r="G25" s="268"/>
      <c r="H25" s="268"/>
      <c r="I25" s="269"/>
    </row>
    <row r="26" spans="1:10" x14ac:dyDescent="0.2">
      <c r="A26" s="304"/>
      <c r="B26" s="268"/>
      <c r="C26" s="268"/>
      <c r="D26" s="268"/>
      <c r="E26" s="268"/>
      <c r="F26" s="268"/>
      <c r="G26" s="268"/>
      <c r="H26" s="268"/>
      <c r="I26" s="269"/>
    </row>
    <row r="27" spans="1:10" x14ac:dyDescent="0.2">
      <c r="A27" s="304" t="s">
        <v>574</v>
      </c>
      <c r="B27" s="268"/>
      <c r="C27" s="268"/>
      <c r="D27" s="268"/>
      <c r="E27" s="268"/>
      <c r="F27" s="268"/>
      <c r="G27" s="268"/>
      <c r="H27" s="268"/>
      <c r="I27" s="269"/>
    </row>
    <row r="28" spans="1:10" x14ac:dyDescent="0.2">
      <c r="A28" s="304" t="s">
        <v>182</v>
      </c>
      <c r="B28" s="268"/>
      <c r="C28" s="268"/>
      <c r="D28" s="268"/>
      <c r="E28" s="268"/>
      <c r="F28" s="268"/>
      <c r="G28" s="268"/>
      <c r="H28" s="268"/>
      <c r="I28" s="269"/>
    </row>
    <row r="29" spans="1:10" x14ac:dyDescent="0.2">
      <c r="A29" s="304" t="s">
        <v>183</v>
      </c>
      <c r="B29" s="268"/>
      <c r="C29" s="268"/>
      <c r="D29" s="268"/>
      <c r="E29" s="752"/>
      <c r="F29" s="268"/>
      <c r="G29" s="268"/>
      <c r="H29" s="268"/>
      <c r="I29" s="269"/>
    </row>
    <row r="30" spans="1:10" x14ac:dyDescent="0.2">
      <c r="A30" s="304" t="s">
        <v>575</v>
      </c>
      <c r="B30" s="268"/>
      <c r="C30" s="268"/>
      <c r="D30" s="268"/>
      <c r="E30" s="268"/>
      <c r="F30" s="268"/>
      <c r="G30" s="268"/>
      <c r="H30" s="268"/>
      <c r="I30" s="269"/>
    </row>
    <row r="31" spans="1:10" x14ac:dyDescent="0.2">
      <c r="A31" s="304"/>
      <c r="B31" s="268"/>
      <c r="C31" s="268"/>
      <c r="D31" s="268"/>
      <c r="E31" s="268"/>
      <c r="F31" s="268"/>
      <c r="G31" s="268"/>
      <c r="H31" s="268"/>
      <c r="I31" s="269"/>
    </row>
    <row r="32" spans="1:10" x14ac:dyDescent="0.2">
      <c r="A32" s="780" t="s">
        <v>185</v>
      </c>
      <c r="B32" s="268"/>
      <c r="C32" s="268"/>
      <c r="D32" s="268"/>
      <c r="E32" s="268"/>
      <c r="F32" s="268"/>
      <c r="J32" s="19"/>
    </row>
    <row r="33" spans="1:10" x14ac:dyDescent="0.2">
      <c r="A33" s="304"/>
      <c r="B33" s="268"/>
      <c r="C33" s="268"/>
      <c r="D33" s="268"/>
      <c r="E33" s="268"/>
      <c r="F33" s="268"/>
      <c r="J33" s="19"/>
    </row>
    <row r="34" spans="1:10" x14ac:dyDescent="0.2">
      <c r="A34" s="304" t="s">
        <v>187</v>
      </c>
      <c r="B34" s="268"/>
      <c r="C34" s="268"/>
      <c r="D34" s="268"/>
      <c r="E34" s="752"/>
      <c r="F34" s="268"/>
      <c r="G34" s="781" t="s">
        <v>634</v>
      </c>
      <c r="J34" s="19"/>
    </row>
    <row r="35" spans="1:10" x14ac:dyDescent="0.2">
      <c r="A35" s="304" t="s">
        <v>571</v>
      </c>
      <c r="B35" s="268"/>
      <c r="C35" s="268"/>
      <c r="D35" s="268"/>
      <c r="F35" s="268"/>
      <c r="J35" s="19"/>
    </row>
    <row r="36" spans="1:10" x14ac:dyDescent="0.2">
      <c r="A36" s="304" t="s">
        <v>190</v>
      </c>
      <c r="B36" s="268"/>
      <c r="C36" s="268"/>
      <c r="D36" s="268"/>
      <c r="E36" s="268"/>
      <c r="F36" s="268"/>
      <c r="J36" s="19"/>
    </row>
    <row r="37" spans="1:10" x14ac:dyDescent="0.2">
      <c r="A37" s="304"/>
      <c r="B37" s="268"/>
      <c r="C37" s="268"/>
      <c r="D37" s="268"/>
      <c r="E37" s="268"/>
      <c r="F37" s="268"/>
      <c r="J37" s="19"/>
    </row>
    <row r="38" spans="1:10" x14ac:dyDescent="0.2">
      <c r="A38" s="304" t="s">
        <v>635</v>
      </c>
      <c r="B38" s="268"/>
      <c r="C38" s="268"/>
      <c r="D38" s="268"/>
      <c r="E38" s="752"/>
      <c r="F38" s="268"/>
      <c r="G38" s="781" t="s">
        <v>639</v>
      </c>
      <c r="J38" s="19"/>
    </row>
    <row r="39" spans="1:10" x14ac:dyDescent="0.2">
      <c r="A39" s="304" t="s">
        <v>636</v>
      </c>
      <c r="B39" s="268"/>
      <c r="C39" s="268"/>
      <c r="D39" s="268"/>
      <c r="E39" s="268"/>
      <c r="F39" s="268"/>
      <c r="G39" s="782" t="s">
        <v>640</v>
      </c>
      <c r="H39" s="268"/>
      <c r="I39" s="269"/>
    </row>
    <row r="40" spans="1:10" x14ac:dyDescent="0.2">
      <c r="A40" s="304" t="s">
        <v>637</v>
      </c>
      <c r="B40" s="268"/>
      <c r="C40" s="268"/>
      <c r="D40" s="268"/>
      <c r="E40" s="268"/>
      <c r="F40" s="268"/>
      <c r="G40" s="782" t="s">
        <v>641</v>
      </c>
      <c r="H40" s="268"/>
      <c r="I40" s="269"/>
    </row>
    <row r="41" spans="1:10" x14ac:dyDescent="0.2">
      <c r="A41" s="304" t="s">
        <v>638</v>
      </c>
      <c r="B41" s="268"/>
      <c r="C41" s="268"/>
      <c r="D41" s="268"/>
      <c r="E41" s="268"/>
      <c r="F41" s="268"/>
      <c r="G41" s="268"/>
      <c r="H41" s="268"/>
      <c r="I41" s="269"/>
    </row>
    <row r="42" spans="1:10" x14ac:dyDescent="0.2">
      <c r="A42" s="304"/>
      <c r="B42" s="268"/>
      <c r="C42" s="268"/>
      <c r="D42" s="268"/>
      <c r="E42" s="268"/>
      <c r="F42" s="268"/>
      <c r="G42" s="268"/>
      <c r="H42" s="268"/>
      <c r="I42" s="269"/>
    </row>
    <row r="43" spans="1:10" x14ac:dyDescent="0.2">
      <c r="A43" s="721" t="s">
        <v>186</v>
      </c>
      <c r="B43" s="722"/>
      <c r="C43" s="659"/>
      <c r="D43" s="268"/>
      <c r="E43" s="268"/>
      <c r="F43" s="268"/>
      <c r="G43" s="268"/>
      <c r="H43" s="268"/>
      <c r="I43" s="269"/>
    </row>
    <row r="44" spans="1:10" x14ac:dyDescent="0.2">
      <c r="A44" s="779" t="s">
        <v>189</v>
      </c>
      <c r="B44" s="783"/>
      <c r="C44" s="784"/>
      <c r="D44" s="268"/>
      <c r="E44" s="268"/>
      <c r="F44" s="268"/>
      <c r="G44" s="268"/>
      <c r="H44" s="268"/>
      <c r="I44" s="269"/>
    </row>
    <row r="45" spans="1:10" x14ac:dyDescent="0.2">
      <c r="A45" s="779" t="s">
        <v>197</v>
      </c>
      <c r="B45" s="783"/>
      <c r="C45" s="784"/>
      <c r="D45" s="268"/>
      <c r="E45" s="268"/>
      <c r="F45" s="268"/>
      <c r="G45" s="268"/>
      <c r="H45" s="268"/>
      <c r="I45" s="269"/>
    </row>
    <row r="46" spans="1:10" x14ac:dyDescent="0.2">
      <c r="A46" s="779" t="s">
        <v>191</v>
      </c>
      <c r="B46" s="783"/>
      <c r="C46" s="784"/>
      <c r="D46" s="268"/>
      <c r="E46" s="268"/>
      <c r="F46" s="268"/>
      <c r="G46" s="268"/>
      <c r="H46" s="268"/>
      <c r="I46" s="269"/>
    </row>
    <row r="47" spans="1:10" x14ac:dyDescent="0.2">
      <c r="A47" s="779" t="s">
        <v>192</v>
      </c>
      <c r="B47" s="783"/>
      <c r="C47" s="784"/>
      <c r="D47" s="268"/>
      <c r="E47" s="268"/>
      <c r="F47" s="268"/>
      <c r="G47" s="268"/>
      <c r="H47" s="268"/>
      <c r="I47" s="269"/>
    </row>
    <row r="48" spans="1:10" x14ac:dyDescent="0.2">
      <c r="A48" s="779" t="s">
        <v>198</v>
      </c>
      <c r="B48" s="783"/>
      <c r="C48" s="784"/>
      <c r="D48" s="268"/>
      <c r="E48" s="268"/>
      <c r="F48" s="268"/>
      <c r="G48" s="268"/>
      <c r="H48" s="268"/>
      <c r="I48" s="269"/>
    </row>
    <row r="49" spans="1:9" x14ac:dyDescent="0.2">
      <c r="A49" s="785" t="s">
        <v>199</v>
      </c>
      <c r="B49" s="786"/>
      <c r="C49" s="787"/>
      <c r="D49" s="268"/>
      <c r="E49" s="268"/>
      <c r="F49" s="268"/>
      <c r="G49" s="268"/>
      <c r="H49" s="268"/>
      <c r="I49" s="269"/>
    </row>
    <row r="50" spans="1:9" x14ac:dyDescent="0.2">
      <c r="A50" s="304"/>
      <c r="B50" s="268"/>
      <c r="C50" s="268"/>
      <c r="D50" s="268"/>
      <c r="E50" s="268"/>
      <c r="F50" s="268"/>
      <c r="G50" s="268"/>
      <c r="H50" s="268"/>
      <c r="I50" s="269"/>
    </row>
    <row r="51" spans="1:9" x14ac:dyDescent="0.2">
      <c r="A51" s="304" t="s">
        <v>193</v>
      </c>
      <c r="B51" s="268"/>
      <c r="C51" s="268"/>
      <c r="D51" s="268"/>
      <c r="E51" s="268"/>
      <c r="F51" s="268"/>
      <c r="G51" s="268"/>
      <c r="H51" s="268"/>
      <c r="I51" s="269"/>
    </row>
    <row r="52" spans="1:9" x14ac:dyDescent="0.2">
      <c r="A52" s="304" t="s">
        <v>194</v>
      </c>
      <c r="B52" s="268"/>
      <c r="C52" s="268"/>
      <c r="D52" s="268"/>
      <c r="E52" s="268"/>
      <c r="F52" s="268"/>
      <c r="G52" s="268"/>
      <c r="H52" s="268"/>
      <c r="I52" s="269"/>
    </row>
    <row r="53" spans="1:9" x14ac:dyDescent="0.2">
      <c r="A53" s="304" t="s">
        <v>572</v>
      </c>
      <c r="B53" s="268"/>
      <c r="C53" s="268"/>
      <c r="D53" s="268"/>
      <c r="E53" s="752"/>
      <c r="F53" s="268"/>
      <c r="G53" s="268"/>
      <c r="H53" s="268"/>
      <c r="I53" s="269"/>
    </row>
    <row r="54" spans="1:9" x14ac:dyDescent="0.2">
      <c r="A54" s="304" t="s">
        <v>573</v>
      </c>
      <c r="B54" s="268"/>
      <c r="C54" s="268"/>
      <c r="D54" s="268"/>
      <c r="E54" s="268"/>
      <c r="F54" s="268"/>
      <c r="G54" s="268"/>
      <c r="H54" s="268"/>
      <c r="I54" s="269"/>
    </row>
    <row r="55" spans="1:9" x14ac:dyDescent="0.2">
      <c r="A55" s="304"/>
      <c r="B55" s="268"/>
      <c r="C55" s="268"/>
      <c r="D55" s="268"/>
      <c r="E55" s="268"/>
      <c r="F55" s="268"/>
      <c r="G55" s="268"/>
      <c r="H55" s="268"/>
      <c r="I55" s="269"/>
    </row>
    <row r="56" spans="1:9" x14ac:dyDescent="0.2">
      <c r="A56" s="304"/>
      <c r="B56" s="268"/>
      <c r="C56" s="268"/>
      <c r="D56" s="268"/>
      <c r="E56" s="268"/>
      <c r="F56" s="268"/>
      <c r="G56" s="268"/>
      <c r="H56" s="268"/>
      <c r="I56" s="269"/>
    </row>
    <row r="57" spans="1:9" x14ac:dyDescent="0.2">
      <c r="A57" s="304"/>
      <c r="B57" s="268"/>
      <c r="C57" s="268"/>
      <c r="D57" s="268"/>
      <c r="E57" s="268"/>
      <c r="F57" s="268"/>
      <c r="G57" s="268"/>
      <c r="H57" s="268"/>
      <c r="I57" s="269"/>
    </row>
    <row r="58" spans="1:9" x14ac:dyDescent="0.2">
      <c r="A58" s="304"/>
      <c r="B58" s="268"/>
      <c r="C58" s="268"/>
      <c r="D58" s="268"/>
      <c r="E58" s="268"/>
      <c r="F58" s="268"/>
      <c r="G58" s="268"/>
      <c r="H58" s="268"/>
      <c r="I58" s="269"/>
    </row>
    <row r="59" spans="1:9" x14ac:dyDescent="0.2">
      <c r="A59" s="304"/>
      <c r="B59" s="268"/>
      <c r="C59" s="268"/>
      <c r="D59" s="268"/>
      <c r="E59" s="268"/>
      <c r="F59" s="268"/>
      <c r="G59" s="268"/>
      <c r="H59" s="268"/>
      <c r="I59" s="269"/>
    </row>
    <row r="60" spans="1:9" x14ac:dyDescent="0.2">
      <c r="A60" s="304"/>
      <c r="B60" s="268"/>
      <c r="C60" s="268"/>
      <c r="D60" s="268"/>
      <c r="E60" s="268"/>
      <c r="F60" s="268"/>
      <c r="G60" s="268"/>
      <c r="H60" s="268"/>
      <c r="I60" s="269"/>
    </row>
    <row r="61" spans="1:9" x14ac:dyDescent="0.2">
      <c r="A61" s="314"/>
      <c r="B61" s="296"/>
      <c r="C61" s="296"/>
      <c r="D61" s="296"/>
      <c r="E61" s="296"/>
      <c r="F61" s="296"/>
      <c r="G61" s="296"/>
      <c r="H61" s="296"/>
      <c r="I61" s="554"/>
    </row>
  </sheetData>
  <sheetProtection algorithmName="SHA-512" hashValue="70LL4xqKbUP+kcwCEj5uOEmNE3zbIq6NxDiRViIXN0eqBAKgygWNXWUTRhlu3Ik5ktkIMYHI8Ba+IK/HtYWB+Q==" saltValue="EBN+f0uZTDlQ6xFtv3Q08Q==" spinCount="100000" sheet="1" objects="1" scenarios="1"/>
  <hyperlinks>
    <hyperlink ref="E9" r:id="rId1" xr:uid="{BF1EAA51-32DB-4812-8CAA-C5D45D2381FF}"/>
    <hyperlink ref="G22" r:id="rId2" xr:uid="{6BAA9431-A386-44E5-ABEA-420D57AFDACA}"/>
    <hyperlink ref="G34" r:id="rId3" xr:uid="{5D65F026-095D-4CFE-9C7E-4461F078BAD9}"/>
    <hyperlink ref="G38" r:id="rId4" xr:uid="{5E4EFCBF-6251-45B4-A42F-29EBDCC9A979}"/>
    <hyperlink ref="G39" r:id="rId5" xr:uid="{E4C49CB3-F354-4E05-BEEC-0087E336FF5B}"/>
    <hyperlink ref="G40" r:id="rId6" xr:uid="{EB8B465F-E433-47E7-ACE4-0499DF4CAF23}"/>
  </hyperlinks>
  <pageMargins left="0.70866141732283472" right="0.70866141732283472" top="0.78740157480314965" bottom="0.78740157480314965" header="0.31496062992125984" footer="0.31496062992125984"/>
  <pageSetup paperSize="9" scale="87" orientation="portrait"/>
  <headerFooter>
    <oddFooter>&amp;LVersion: 22.11.2024&amp;CVerhandlungsunterlagen SGB XI (B3 vereinfacht)&amp;1#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8"/>
  <sheetViews>
    <sheetView showGridLines="0" workbookViewId="0">
      <pane ySplit="5" topLeftCell="A65" activePane="bottomLeft" state="frozen"/>
      <selection pane="bottomLeft" activeCell="C73" sqref="C73"/>
    </sheetView>
  </sheetViews>
  <sheetFormatPr baseColWidth="10" defaultRowHeight="14.25" x14ac:dyDescent="0.2"/>
  <cols>
    <col min="1" max="1" width="10.625" customWidth="1"/>
    <col min="2" max="2" width="17.75" customWidth="1"/>
    <col min="3" max="3" width="42.5" customWidth="1"/>
    <col min="4" max="4" width="51.125" customWidth="1"/>
    <col min="5" max="5" width="38.375" customWidth="1"/>
  </cols>
  <sheetData>
    <row r="1" spans="1:5" x14ac:dyDescent="0.2">
      <c r="A1" s="593"/>
      <c r="B1" s="594"/>
      <c r="C1" s="594"/>
      <c r="D1" s="594"/>
      <c r="E1" s="594"/>
    </row>
    <row r="2" spans="1:5" ht="23.25" x14ac:dyDescent="0.25">
      <c r="A2" s="595" t="s">
        <v>585</v>
      </c>
      <c r="B2" s="583"/>
      <c r="C2" s="583"/>
      <c r="D2" s="583"/>
      <c r="E2" s="594"/>
    </row>
    <row r="3" spans="1:5" ht="15" x14ac:dyDescent="0.25">
      <c r="A3" s="593"/>
      <c r="B3" s="583"/>
      <c r="C3" s="583"/>
      <c r="D3" s="583"/>
      <c r="E3" s="594"/>
    </row>
    <row r="5" spans="1:5" ht="25.5" x14ac:dyDescent="0.2">
      <c r="A5" s="596" t="s">
        <v>407</v>
      </c>
      <c r="B5" s="596" t="s">
        <v>393</v>
      </c>
      <c r="C5" s="596" t="s">
        <v>394</v>
      </c>
      <c r="D5" s="596" t="s">
        <v>395</v>
      </c>
      <c r="E5" s="596" t="s">
        <v>406</v>
      </c>
    </row>
    <row r="6" spans="1:5" ht="63.75" x14ac:dyDescent="0.2">
      <c r="A6" s="957">
        <v>45097</v>
      </c>
      <c r="B6" s="956" t="s">
        <v>365</v>
      </c>
      <c r="C6" s="622" t="s">
        <v>421</v>
      </c>
      <c r="D6" s="623" t="s">
        <v>422</v>
      </c>
      <c r="E6" s="623" t="s">
        <v>423</v>
      </c>
    </row>
    <row r="7" spans="1:5" ht="51" x14ac:dyDescent="0.2">
      <c r="A7" s="957"/>
      <c r="B7" s="956"/>
      <c r="C7" s="622" t="s">
        <v>424</v>
      </c>
      <c r="D7" s="623" t="s">
        <v>425</v>
      </c>
      <c r="E7" s="623" t="s">
        <v>426</v>
      </c>
    </row>
    <row r="8" spans="1:5" x14ac:dyDescent="0.2">
      <c r="A8" s="624">
        <v>45110</v>
      </c>
      <c r="B8" s="612" t="s">
        <v>0</v>
      </c>
      <c r="C8" s="613" t="s">
        <v>427</v>
      </c>
      <c r="D8" s="614" t="s">
        <v>428</v>
      </c>
      <c r="E8" s="615"/>
    </row>
    <row r="9" spans="1:5" ht="55.5" customHeight="1" x14ac:dyDescent="0.2">
      <c r="A9" s="625">
        <v>45155</v>
      </c>
      <c r="B9" s="616" t="s">
        <v>0</v>
      </c>
      <c r="C9" s="616" t="s">
        <v>404</v>
      </c>
      <c r="D9" s="617" t="s">
        <v>429</v>
      </c>
      <c r="E9" s="618" t="s">
        <v>430</v>
      </c>
    </row>
    <row r="10" spans="1:5" ht="14.25" customHeight="1" x14ac:dyDescent="0.2">
      <c r="A10" s="935">
        <v>45159</v>
      </c>
      <c r="B10" s="936" t="s">
        <v>0</v>
      </c>
      <c r="C10" s="726" t="s">
        <v>437</v>
      </c>
      <c r="D10" s="727"/>
      <c r="E10" s="933" t="s">
        <v>447</v>
      </c>
    </row>
    <row r="11" spans="1:5" x14ac:dyDescent="0.2">
      <c r="A11" s="935"/>
      <c r="B11" s="936"/>
      <c r="C11" s="728" t="s">
        <v>438</v>
      </c>
      <c r="D11" s="729" t="s">
        <v>440</v>
      </c>
      <c r="E11" s="934"/>
    </row>
    <row r="12" spans="1:5" x14ac:dyDescent="0.2">
      <c r="A12" s="935"/>
      <c r="B12" s="936"/>
      <c r="C12" s="728" t="s">
        <v>439</v>
      </c>
      <c r="D12" s="729" t="s">
        <v>448</v>
      </c>
      <c r="E12" s="934"/>
    </row>
    <row r="13" spans="1:5" x14ac:dyDescent="0.2">
      <c r="A13" s="935"/>
      <c r="B13" s="936"/>
      <c r="C13" s="728" t="s">
        <v>441</v>
      </c>
      <c r="D13" s="729" t="s">
        <v>434</v>
      </c>
      <c r="E13" s="934"/>
    </row>
    <row r="14" spans="1:5" x14ac:dyDescent="0.2">
      <c r="A14" s="935"/>
      <c r="B14" s="936"/>
      <c r="C14" s="728" t="s">
        <v>442</v>
      </c>
      <c r="D14" s="729" t="s">
        <v>443</v>
      </c>
      <c r="E14" s="934"/>
    </row>
    <row r="15" spans="1:5" x14ac:dyDescent="0.2">
      <c r="A15" s="935"/>
      <c r="B15" s="936"/>
      <c r="C15" s="728" t="s">
        <v>444</v>
      </c>
      <c r="D15" s="729" t="s">
        <v>445</v>
      </c>
      <c r="E15" s="934"/>
    </row>
    <row r="16" spans="1:5" x14ac:dyDescent="0.2">
      <c r="A16" s="935"/>
      <c r="B16" s="936"/>
      <c r="C16" s="728" t="s">
        <v>446</v>
      </c>
      <c r="D16" s="729" t="s">
        <v>443</v>
      </c>
      <c r="E16" s="934"/>
    </row>
    <row r="17" spans="1:9" ht="25.5" x14ac:dyDescent="0.2">
      <c r="A17" s="935"/>
      <c r="B17" s="936"/>
      <c r="C17" s="728" t="s">
        <v>449</v>
      </c>
      <c r="D17" s="730" t="s">
        <v>450</v>
      </c>
      <c r="E17" s="934"/>
    </row>
    <row r="18" spans="1:9" ht="25.5" x14ac:dyDescent="0.2">
      <c r="A18" s="935"/>
      <c r="B18" s="936"/>
      <c r="C18" s="731" t="s">
        <v>451</v>
      </c>
      <c r="D18" s="732" t="s">
        <v>452</v>
      </c>
      <c r="E18" s="732" t="s">
        <v>453</v>
      </c>
    </row>
    <row r="19" spans="1:9" ht="41.25" customHeight="1" x14ac:dyDescent="0.2">
      <c r="A19" s="949">
        <v>45159</v>
      </c>
      <c r="B19" s="936" t="s">
        <v>396</v>
      </c>
      <c r="C19" s="947" t="s">
        <v>454</v>
      </c>
      <c r="D19" s="626" t="s">
        <v>470</v>
      </c>
      <c r="E19" s="945"/>
      <c r="F19" s="610"/>
      <c r="G19" s="610"/>
      <c r="H19" s="610"/>
      <c r="I19" s="610"/>
    </row>
    <row r="20" spans="1:9" ht="34.5" customHeight="1" x14ac:dyDescent="0.2">
      <c r="A20" s="949"/>
      <c r="B20" s="936"/>
      <c r="C20" s="948"/>
      <c r="D20" s="627" t="s">
        <v>455</v>
      </c>
      <c r="E20" s="946"/>
      <c r="F20" s="577"/>
      <c r="G20" s="577"/>
      <c r="H20" s="577"/>
      <c r="I20" s="577"/>
    </row>
    <row r="21" spans="1:9" x14ac:dyDescent="0.2">
      <c r="A21" s="949"/>
      <c r="B21" s="936"/>
      <c r="C21" s="948"/>
      <c r="D21" s="628" t="s">
        <v>433</v>
      </c>
      <c r="E21" s="946"/>
      <c r="F21" s="579"/>
      <c r="G21" s="579"/>
      <c r="H21" s="579"/>
      <c r="I21" s="579"/>
    </row>
    <row r="22" spans="1:9" ht="76.5" customHeight="1" x14ac:dyDescent="0.2">
      <c r="A22" s="949"/>
      <c r="B22" s="936"/>
      <c r="C22" s="948"/>
      <c r="D22" s="629" t="s">
        <v>457</v>
      </c>
      <c r="E22" s="946"/>
    </row>
    <row r="23" spans="1:9" ht="38.25" x14ac:dyDescent="0.2">
      <c r="A23" s="949"/>
      <c r="B23" s="936"/>
      <c r="C23" s="630" t="s">
        <v>456</v>
      </c>
      <c r="D23" s="621"/>
      <c r="E23" s="633"/>
    </row>
    <row r="24" spans="1:9" x14ac:dyDescent="0.2">
      <c r="A24" s="949"/>
      <c r="B24" s="936"/>
      <c r="C24" s="630" t="s">
        <v>458</v>
      </c>
      <c r="D24" s="621"/>
      <c r="E24" s="633"/>
    </row>
    <row r="25" spans="1:9" x14ac:dyDescent="0.2">
      <c r="A25" s="949"/>
      <c r="B25" s="936"/>
      <c r="C25" s="631" t="s">
        <v>471</v>
      </c>
      <c r="D25" s="632"/>
      <c r="E25" s="634"/>
    </row>
    <row r="26" spans="1:9" ht="76.5" x14ac:dyDescent="0.2">
      <c r="A26" s="939">
        <v>45174</v>
      </c>
      <c r="B26" s="619" t="s">
        <v>396</v>
      </c>
      <c r="C26" s="620" t="s">
        <v>459</v>
      </c>
      <c r="D26" s="620" t="s">
        <v>460</v>
      </c>
      <c r="E26" s="942" t="s">
        <v>465</v>
      </c>
    </row>
    <row r="27" spans="1:9" ht="25.5" x14ac:dyDescent="0.2">
      <c r="A27" s="940"/>
      <c r="B27" s="937" t="s">
        <v>0</v>
      </c>
      <c r="C27" s="635" t="s">
        <v>462</v>
      </c>
      <c r="D27" s="635" t="s">
        <v>468</v>
      </c>
      <c r="E27" s="943"/>
    </row>
    <row r="28" spans="1:9" ht="25.5" x14ac:dyDescent="0.2">
      <c r="A28" s="941"/>
      <c r="B28" s="938"/>
      <c r="C28" s="636" t="s">
        <v>464</v>
      </c>
      <c r="D28" s="637" t="s">
        <v>463</v>
      </c>
      <c r="E28" s="944"/>
    </row>
    <row r="29" spans="1:9" x14ac:dyDescent="0.2">
      <c r="A29" s="747">
        <v>45272</v>
      </c>
      <c r="B29" s="724" t="s">
        <v>473</v>
      </c>
      <c r="C29" s="704"/>
      <c r="D29" s="704"/>
      <c r="E29" s="705"/>
    </row>
    <row r="30" spans="1:9" ht="25.5" x14ac:dyDescent="0.2">
      <c r="A30" s="958" t="s">
        <v>558</v>
      </c>
      <c r="B30" s="953" t="s">
        <v>475</v>
      </c>
      <c r="C30" s="990" t="s">
        <v>476</v>
      </c>
      <c r="D30" s="733" t="s">
        <v>477</v>
      </c>
      <c r="E30" s="990"/>
    </row>
    <row r="31" spans="1:9" ht="25.5" x14ac:dyDescent="0.2">
      <c r="A31" s="959"/>
      <c r="B31" s="954"/>
      <c r="C31" s="991" t="s">
        <v>478</v>
      </c>
      <c r="D31" s="734" t="s">
        <v>479</v>
      </c>
      <c r="E31" s="991" t="s">
        <v>482</v>
      </c>
    </row>
    <row r="32" spans="1:9" x14ac:dyDescent="0.2">
      <c r="A32" s="959"/>
      <c r="B32" s="954"/>
      <c r="C32" s="991" t="s">
        <v>480</v>
      </c>
      <c r="D32" s="734" t="s">
        <v>481</v>
      </c>
      <c r="E32" s="991" t="s">
        <v>483</v>
      </c>
    </row>
    <row r="33" spans="1:5" x14ac:dyDescent="0.2">
      <c r="A33" s="959"/>
      <c r="B33" s="725"/>
      <c r="C33" s="992" t="s">
        <v>484</v>
      </c>
      <c r="D33" s="735" t="s">
        <v>485</v>
      </c>
      <c r="E33" s="992"/>
    </row>
    <row r="34" spans="1:5" x14ac:dyDescent="0.2">
      <c r="A34" s="959"/>
      <c r="B34" s="953" t="s">
        <v>474</v>
      </c>
      <c r="C34" s="993" t="s">
        <v>486</v>
      </c>
      <c r="D34" s="733" t="s">
        <v>489</v>
      </c>
      <c r="E34" s="994"/>
    </row>
    <row r="35" spans="1:5" x14ac:dyDescent="0.2">
      <c r="A35" s="959"/>
      <c r="B35" s="954"/>
      <c r="C35" s="995" t="s">
        <v>487</v>
      </c>
      <c r="D35" s="734" t="s">
        <v>488</v>
      </c>
      <c r="E35" s="996"/>
    </row>
    <row r="36" spans="1:5" x14ac:dyDescent="0.2">
      <c r="A36" s="959"/>
      <c r="B36" s="954"/>
      <c r="C36" s="995" t="s">
        <v>490</v>
      </c>
      <c r="D36" s="734" t="s">
        <v>491</v>
      </c>
      <c r="E36" s="996"/>
    </row>
    <row r="37" spans="1:5" ht="25.5" x14ac:dyDescent="0.2">
      <c r="A37" s="959"/>
      <c r="B37" s="954"/>
      <c r="C37" s="995" t="s">
        <v>408</v>
      </c>
      <c r="D37" s="734" t="s">
        <v>492</v>
      </c>
      <c r="E37" s="996"/>
    </row>
    <row r="38" spans="1:5" x14ac:dyDescent="0.2">
      <c r="A38" s="959"/>
      <c r="B38" s="954"/>
      <c r="C38" s="995" t="s">
        <v>493</v>
      </c>
      <c r="D38" s="734" t="s">
        <v>494</v>
      </c>
      <c r="E38" s="996"/>
    </row>
    <row r="39" spans="1:5" x14ac:dyDescent="0.2">
      <c r="A39" s="959"/>
      <c r="B39" s="954"/>
      <c r="C39" s="995" t="s">
        <v>495</v>
      </c>
      <c r="D39" s="734" t="s">
        <v>496</v>
      </c>
      <c r="E39" s="996"/>
    </row>
    <row r="40" spans="1:5" x14ac:dyDescent="0.2">
      <c r="A40" s="959"/>
      <c r="B40" s="954"/>
      <c r="C40" s="995" t="s">
        <v>416</v>
      </c>
      <c r="D40" s="734" t="s">
        <v>497</v>
      </c>
      <c r="E40" s="996"/>
    </row>
    <row r="41" spans="1:5" ht="38.25" x14ac:dyDescent="0.2">
      <c r="A41" s="959"/>
      <c r="B41" s="954"/>
      <c r="C41" s="995" t="s">
        <v>541</v>
      </c>
      <c r="D41" s="734" t="s">
        <v>542</v>
      </c>
      <c r="E41" s="996"/>
    </row>
    <row r="42" spans="1:5" x14ac:dyDescent="0.2">
      <c r="A42" s="959"/>
      <c r="B42" s="954"/>
      <c r="C42" s="995" t="s">
        <v>417</v>
      </c>
      <c r="D42" s="734" t="s">
        <v>543</v>
      </c>
      <c r="E42" s="996"/>
    </row>
    <row r="43" spans="1:5" x14ac:dyDescent="0.2">
      <c r="A43" s="959"/>
      <c r="B43" s="954"/>
      <c r="C43" s="995" t="s">
        <v>544</v>
      </c>
      <c r="D43" s="734" t="s">
        <v>545</v>
      </c>
      <c r="E43" s="996"/>
    </row>
    <row r="44" spans="1:5" ht="25.5" x14ac:dyDescent="0.2">
      <c r="A44" s="959"/>
      <c r="B44" s="954"/>
      <c r="C44" s="995" t="s">
        <v>549</v>
      </c>
      <c r="D44" s="734" t="s">
        <v>550</v>
      </c>
      <c r="E44" s="996"/>
    </row>
    <row r="45" spans="1:5" x14ac:dyDescent="0.2">
      <c r="A45" s="959"/>
      <c r="B45" s="954"/>
      <c r="C45" s="995" t="s">
        <v>546</v>
      </c>
      <c r="D45" s="734" t="s">
        <v>547</v>
      </c>
      <c r="E45" s="996"/>
    </row>
    <row r="46" spans="1:5" ht="25.5" x14ac:dyDescent="0.2">
      <c r="A46" s="959"/>
      <c r="B46" s="954"/>
      <c r="C46" s="995" t="s">
        <v>548</v>
      </c>
      <c r="D46" s="734" t="s">
        <v>556</v>
      </c>
      <c r="E46" s="996"/>
    </row>
    <row r="47" spans="1:5" x14ac:dyDescent="0.2">
      <c r="A47" s="959"/>
      <c r="B47" s="954"/>
      <c r="C47" s="995" t="s">
        <v>551</v>
      </c>
      <c r="D47" s="734" t="s">
        <v>552</v>
      </c>
      <c r="E47" s="996"/>
    </row>
    <row r="48" spans="1:5" ht="25.5" x14ac:dyDescent="0.2">
      <c r="A48" s="959"/>
      <c r="B48" s="954"/>
      <c r="C48" s="995" t="s">
        <v>553</v>
      </c>
      <c r="D48" s="734" t="s">
        <v>554</v>
      </c>
      <c r="E48" s="996"/>
    </row>
    <row r="49" spans="1:5" x14ac:dyDescent="0.2">
      <c r="A49" s="959"/>
      <c r="B49" s="955"/>
      <c r="C49" s="997" t="s">
        <v>559</v>
      </c>
      <c r="D49" s="735" t="s">
        <v>560</v>
      </c>
      <c r="E49" s="998"/>
    </row>
    <row r="50" spans="1:5" x14ac:dyDescent="0.2">
      <c r="A50" s="959"/>
      <c r="B50" s="736" t="s">
        <v>555</v>
      </c>
      <c r="C50" s="736" t="s">
        <v>557</v>
      </c>
      <c r="D50" s="736"/>
      <c r="E50" s="740"/>
    </row>
    <row r="51" spans="1:5" x14ac:dyDescent="0.2">
      <c r="A51" s="960"/>
      <c r="B51" s="737" t="s">
        <v>576</v>
      </c>
      <c r="C51" s="738" t="s">
        <v>577</v>
      </c>
      <c r="D51" s="737" t="s">
        <v>579</v>
      </c>
      <c r="E51" s="201"/>
    </row>
    <row r="52" spans="1:5" x14ac:dyDescent="0.2">
      <c r="A52" s="950">
        <v>45280</v>
      </c>
      <c r="B52" s="741" t="s">
        <v>475</v>
      </c>
      <c r="C52" s="746" t="s">
        <v>580</v>
      </c>
      <c r="D52" s="746" t="s">
        <v>578</v>
      </c>
      <c r="E52" s="742"/>
    </row>
    <row r="53" spans="1:5" x14ac:dyDescent="0.2">
      <c r="A53" s="951"/>
      <c r="B53" s="743" t="s">
        <v>474</v>
      </c>
      <c r="C53" s="744" t="s">
        <v>581</v>
      </c>
      <c r="D53" s="743" t="s">
        <v>582</v>
      </c>
      <c r="E53" s="745"/>
    </row>
    <row r="54" spans="1:5" x14ac:dyDescent="0.2">
      <c r="A54" s="952"/>
      <c r="B54" s="737" t="s">
        <v>555</v>
      </c>
      <c r="C54" s="738" t="s">
        <v>583</v>
      </c>
      <c r="D54" s="737" t="s">
        <v>584</v>
      </c>
      <c r="E54" s="739"/>
    </row>
    <row r="55" spans="1:5" x14ac:dyDescent="0.2">
      <c r="A55" s="1000">
        <v>45541</v>
      </c>
      <c r="B55" s="1001" t="s">
        <v>587</v>
      </c>
      <c r="C55" s="1001" t="s">
        <v>588</v>
      </c>
      <c r="D55" s="1001" t="s">
        <v>589</v>
      </c>
      <c r="E55" s="1001"/>
    </row>
    <row r="56" spans="1:5" x14ac:dyDescent="0.2">
      <c r="A56" s="1004">
        <v>45609</v>
      </c>
      <c r="B56" s="1005" t="s">
        <v>603</v>
      </c>
      <c r="C56" s="1006" t="s">
        <v>604</v>
      </c>
      <c r="D56" s="1005" t="s">
        <v>605</v>
      </c>
      <c r="E56" s="1005"/>
    </row>
    <row r="57" spans="1:5" x14ac:dyDescent="0.2">
      <c r="A57" s="1001"/>
      <c r="B57" s="1001"/>
      <c r="C57" s="1002" t="s">
        <v>606</v>
      </c>
      <c r="D57" s="1001" t="s">
        <v>607</v>
      </c>
      <c r="E57" s="1001"/>
    </row>
    <row r="58" spans="1:5" x14ac:dyDescent="0.2">
      <c r="A58" s="1001"/>
      <c r="B58" s="1001" t="s">
        <v>474</v>
      </c>
      <c r="C58" s="1002" t="s">
        <v>417</v>
      </c>
      <c r="D58" s="1001" t="s">
        <v>614</v>
      </c>
      <c r="E58" s="1001"/>
    </row>
    <row r="59" spans="1:5" x14ac:dyDescent="0.2">
      <c r="A59" s="1001"/>
      <c r="B59" s="1001"/>
      <c r="C59" s="1002" t="s">
        <v>544</v>
      </c>
      <c r="D59" s="1001" t="s">
        <v>615</v>
      </c>
      <c r="E59" s="1001"/>
    </row>
    <row r="60" spans="1:5" x14ac:dyDescent="0.2">
      <c r="A60" s="1001"/>
      <c r="B60" s="1001" t="s">
        <v>648</v>
      </c>
      <c r="C60" s="1002" t="s">
        <v>618</v>
      </c>
      <c r="D60" s="1001" t="s">
        <v>619</v>
      </c>
      <c r="E60" s="1001"/>
    </row>
    <row r="61" spans="1:5" x14ac:dyDescent="0.2">
      <c r="A61" s="1001"/>
      <c r="B61" s="1001" t="s">
        <v>474</v>
      </c>
      <c r="C61" s="1001" t="s">
        <v>608</v>
      </c>
      <c r="D61" s="1001" t="s">
        <v>621</v>
      </c>
      <c r="E61" s="1001"/>
    </row>
    <row r="62" spans="1:5" x14ac:dyDescent="0.2">
      <c r="A62" s="1001"/>
      <c r="B62" s="1001" t="s">
        <v>648</v>
      </c>
      <c r="C62" s="1002" t="s">
        <v>616</v>
      </c>
      <c r="D62" s="1001" t="s">
        <v>617</v>
      </c>
      <c r="E62" s="1001"/>
    </row>
    <row r="63" spans="1:5" ht="25.5" x14ac:dyDescent="0.2">
      <c r="A63" s="1001"/>
      <c r="B63" s="1001" t="s">
        <v>474</v>
      </c>
      <c r="C63" s="1002" t="s">
        <v>620</v>
      </c>
      <c r="D63" s="1003" t="s">
        <v>664</v>
      </c>
      <c r="E63" s="1001"/>
    </row>
    <row r="64" spans="1:5" x14ac:dyDescent="0.2">
      <c r="A64" s="1001"/>
      <c r="B64" s="1001"/>
      <c r="C64" s="1002" t="s">
        <v>622</v>
      </c>
      <c r="D64" s="1001" t="s">
        <v>623</v>
      </c>
      <c r="E64" s="1001"/>
    </row>
    <row r="65" spans="1:5" x14ac:dyDescent="0.2">
      <c r="A65" s="1001"/>
      <c r="B65" s="1001"/>
      <c r="C65" s="1002" t="s">
        <v>624</v>
      </c>
      <c r="D65" s="1001" t="s">
        <v>627</v>
      </c>
      <c r="E65" s="1001"/>
    </row>
    <row r="66" spans="1:5" x14ac:dyDescent="0.2">
      <c r="A66" s="1001"/>
      <c r="B66" s="1001"/>
      <c r="C66" s="1002" t="s">
        <v>625</v>
      </c>
      <c r="D66" s="1001" t="s">
        <v>626</v>
      </c>
      <c r="E66" s="1001"/>
    </row>
    <row r="67" spans="1:5" x14ac:dyDescent="0.2">
      <c r="A67" s="1001"/>
      <c r="B67" s="1001"/>
      <c r="C67" s="1002" t="s">
        <v>628</v>
      </c>
      <c r="D67" s="1001" t="s">
        <v>631</v>
      </c>
      <c r="E67" s="1001"/>
    </row>
    <row r="68" spans="1:5" x14ac:dyDescent="0.2">
      <c r="A68" s="1001"/>
      <c r="B68" s="1001"/>
      <c r="C68" s="1002" t="s">
        <v>629</v>
      </c>
      <c r="D68" s="1001" t="s">
        <v>630</v>
      </c>
      <c r="E68" s="1001"/>
    </row>
    <row r="69" spans="1:5" x14ac:dyDescent="0.2">
      <c r="A69" s="1001"/>
      <c r="B69" s="1001"/>
      <c r="C69" s="1002" t="s">
        <v>643</v>
      </c>
      <c r="D69" s="1001" t="s">
        <v>644</v>
      </c>
      <c r="E69" s="1001"/>
    </row>
    <row r="70" spans="1:5" x14ac:dyDescent="0.2">
      <c r="A70" s="1001"/>
      <c r="B70" s="1001"/>
      <c r="C70" s="1002" t="s">
        <v>645</v>
      </c>
      <c r="D70" s="1001" t="s">
        <v>646</v>
      </c>
      <c r="E70" s="1001"/>
    </row>
    <row r="71" spans="1:5" x14ac:dyDescent="0.2">
      <c r="A71" s="1001"/>
      <c r="B71" s="1001" t="s">
        <v>555</v>
      </c>
      <c r="C71" s="1002" t="s">
        <v>632</v>
      </c>
      <c r="D71" s="1001" t="s">
        <v>633</v>
      </c>
      <c r="E71" s="1001"/>
    </row>
    <row r="72" spans="1:5" x14ac:dyDescent="0.2">
      <c r="A72" s="1001"/>
      <c r="B72" s="1001" t="s">
        <v>642</v>
      </c>
      <c r="C72" s="1002" t="s">
        <v>577</v>
      </c>
      <c r="D72" s="1001"/>
      <c r="E72" s="1001"/>
    </row>
    <row r="73" spans="1:5" x14ac:dyDescent="0.2">
      <c r="A73" s="1004">
        <v>45610</v>
      </c>
      <c r="B73" s="1005" t="s">
        <v>474</v>
      </c>
      <c r="C73" s="1006" t="s">
        <v>417</v>
      </c>
      <c r="D73" s="1005" t="s">
        <v>647</v>
      </c>
      <c r="E73" s="1005"/>
    </row>
    <row r="74" spans="1:5" x14ac:dyDescent="0.2">
      <c r="A74" s="1001"/>
      <c r="B74" s="1001" t="s">
        <v>474</v>
      </c>
      <c r="C74" s="1002" t="s">
        <v>651</v>
      </c>
      <c r="D74" s="1001" t="s">
        <v>652</v>
      </c>
      <c r="E74" s="1001"/>
    </row>
    <row r="75" spans="1:5" x14ac:dyDescent="0.2">
      <c r="A75" s="1001"/>
      <c r="B75" s="1001" t="s">
        <v>656</v>
      </c>
      <c r="C75" s="1001"/>
      <c r="D75" s="1001"/>
      <c r="E75" s="1001"/>
    </row>
    <row r="76" spans="1:5" x14ac:dyDescent="0.2">
      <c r="A76" s="1001"/>
      <c r="B76" s="1001" t="s">
        <v>658</v>
      </c>
      <c r="C76" s="1002" t="s">
        <v>659</v>
      </c>
      <c r="D76" s="1001" t="s">
        <v>660</v>
      </c>
      <c r="E76" s="1001"/>
    </row>
    <row r="77" spans="1:5" x14ac:dyDescent="0.2">
      <c r="A77" s="1007"/>
      <c r="B77" s="1007" t="s">
        <v>661</v>
      </c>
      <c r="C77" s="1008" t="s">
        <v>662</v>
      </c>
      <c r="D77" s="1007"/>
      <c r="E77" s="1007"/>
    </row>
    <row r="78" spans="1:5" x14ac:dyDescent="0.2">
      <c r="A78" s="1001"/>
      <c r="B78" s="1001"/>
      <c r="C78" s="1001"/>
      <c r="D78" s="1001"/>
      <c r="E78" s="1001"/>
    </row>
    <row r="79" spans="1:5" x14ac:dyDescent="0.2">
      <c r="A79" s="1001"/>
      <c r="B79" s="1001"/>
      <c r="C79" s="1001"/>
      <c r="D79" s="1001"/>
      <c r="E79" s="1001"/>
    </row>
    <row r="80" spans="1:5" x14ac:dyDescent="0.2">
      <c r="A80" s="1001"/>
      <c r="B80" s="1001"/>
      <c r="C80" s="1001"/>
      <c r="D80" s="1001"/>
      <c r="E80" s="1001"/>
    </row>
    <row r="81" spans="1:5" x14ac:dyDescent="0.2">
      <c r="A81" s="1001"/>
      <c r="B81" s="1001"/>
      <c r="C81" s="1001"/>
      <c r="D81" s="1001"/>
      <c r="E81" s="1001"/>
    </row>
    <row r="82" spans="1:5" x14ac:dyDescent="0.2">
      <c r="A82" s="999"/>
      <c r="B82" s="999"/>
      <c r="C82" s="999"/>
      <c r="D82" s="999"/>
      <c r="E82" s="999"/>
    </row>
    <row r="83" spans="1:5" x14ac:dyDescent="0.2">
      <c r="A83" s="999"/>
      <c r="B83" s="999"/>
      <c r="C83" s="999"/>
      <c r="D83" s="999"/>
      <c r="E83" s="999"/>
    </row>
    <row r="84" spans="1:5" x14ac:dyDescent="0.2">
      <c r="A84" s="999"/>
      <c r="B84" s="999"/>
      <c r="C84" s="999"/>
      <c r="D84" s="999"/>
      <c r="E84" s="999"/>
    </row>
    <row r="85" spans="1:5" x14ac:dyDescent="0.2">
      <c r="A85" s="999"/>
      <c r="B85" s="999"/>
      <c r="C85" s="999"/>
      <c r="D85" s="999"/>
      <c r="E85" s="999"/>
    </row>
    <row r="86" spans="1:5" x14ac:dyDescent="0.2">
      <c r="A86" s="999"/>
      <c r="B86" s="999"/>
      <c r="C86" s="999"/>
      <c r="D86" s="999"/>
      <c r="E86" s="999"/>
    </row>
    <row r="87" spans="1:5" x14ac:dyDescent="0.2">
      <c r="A87" s="999"/>
      <c r="B87" s="999"/>
      <c r="C87" s="999"/>
      <c r="D87" s="999"/>
      <c r="E87" s="999"/>
    </row>
    <row r="88" spans="1:5" x14ac:dyDescent="0.2">
      <c r="A88" s="999"/>
      <c r="B88" s="999"/>
      <c r="C88" s="999"/>
      <c r="D88" s="999"/>
      <c r="E88" s="999"/>
    </row>
    <row r="89" spans="1:5" x14ac:dyDescent="0.2">
      <c r="A89" s="999"/>
      <c r="B89" s="999"/>
      <c r="C89" s="999"/>
      <c r="D89" s="999"/>
      <c r="E89" s="999"/>
    </row>
    <row r="90" spans="1:5" x14ac:dyDescent="0.2">
      <c r="A90" s="999"/>
      <c r="B90" s="999"/>
      <c r="C90" s="999"/>
      <c r="D90" s="999"/>
      <c r="E90" s="999"/>
    </row>
    <row r="91" spans="1:5" x14ac:dyDescent="0.2">
      <c r="A91" s="999"/>
      <c r="B91" s="999"/>
      <c r="C91" s="999"/>
      <c r="D91" s="999"/>
      <c r="E91" s="999"/>
    </row>
    <row r="92" spans="1:5" x14ac:dyDescent="0.2">
      <c r="A92" s="999"/>
      <c r="B92" s="999"/>
      <c r="C92" s="999"/>
      <c r="D92" s="999"/>
      <c r="E92" s="999"/>
    </row>
    <row r="93" spans="1:5" x14ac:dyDescent="0.2">
      <c r="A93" s="999"/>
      <c r="B93" s="999"/>
      <c r="C93" s="999"/>
      <c r="D93" s="999"/>
      <c r="E93" s="999"/>
    </row>
    <row r="94" spans="1:5" x14ac:dyDescent="0.2">
      <c r="A94" s="999"/>
      <c r="B94" s="999"/>
      <c r="C94" s="999"/>
      <c r="D94" s="999"/>
      <c r="E94" s="999"/>
    </row>
    <row r="95" spans="1:5" x14ac:dyDescent="0.2">
      <c r="A95" s="999"/>
      <c r="B95" s="999"/>
      <c r="C95" s="999"/>
      <c r="D95" s="999"/>
      <c r="E95" s="999"/>
    </row>
    <row r="96" spans="1:5" x14ac:dyDescent="0.2">
      <c r="A96" s="999"/>
      <c r="B96" s="999"/>
      <c r="C96" s="999"/>
      <c r="D96" s="999"/>
      <c r="E96" s="999"/>
    </row>
    <row r="97" spans="1:5" x14ac:dyDescent="0.2">
      <c r="A97" s="999"/>
      <c r="B97" s="999"/>
      <c r="C97" s="999"/>
      <c r="D97" s="999"/>
      <c r="E97" s="999"/>
    </row>
    <row r="98" spans="1:5" x14ac:dyDescent="0.2">
      <c r="A98" s="999"/>
      <c r="B98" s="999"/>
      <c r="C98" s="999"/>
      <c r="D98" s="999"/>
      <c r="E98" s="999"/>
    </row>
    <row r="99" spans="1:5" x14ac:dyDescent="0.2">
      <c r="A99" s="999"/>
      <c r="B99" s="999"/>
      <c r="C99" s="999"/>
      <c r="D99" s="999"/>
      <c r="E99" s="999"/>
    </row>
    <row r="100" spans="1:5" x14ac:dyDescent="0.2">
      <c r="A100" s="999"/>
      <c r="B100" s="999"/>
      <c r="C100" s="999"/>
      <c r="D100" s="999"/>
      <c r="E100" s="999"/>
    </row>
    <row r="101" spans="1:5" x14ac:dyDescent="0.2">
      <c r="A101" s="999"/>
      <c r="B101" s="999"/>
      <c r="C101" s="999"/>
      <c r="D101" s="999"/>
      <c r="E101" s="999"/>
    </row>
    <row r="102" spans="1:5" x14ac:dyDescent="0.2">
      <c r="A102" s="999"/>
      <c r="B102" s="999"/>
      <c r="C102" s="999"/>
      <c r="D102" s="999"/>
      <c r="E102" s="999"/>
    </row>
    <row r="103" spans="1:5" x14ac:dyDescent="0.2">
      <c r="A103" s="999"/>
      <c r="B103" s="999"/>
      <c r="C103" s="999"/>
      <c r="D103" s="999"/>
      <c r="E103" s="999"/>
    </row>
    <row r="104" spans="1:5" x14ac:dyDescent="0.2">
      <c r="A104" s="999"/>
      <c r="B104" s="999"/>
      <c r="C104" s="999"/>
      <c r="D104" s="999"/>
      <c r="E104" s="999"/>
    </row>
    <row r="105" spans="1:5" x14ac:dyDescent="0.2">
      <c r="A105" s="999"/>
      <c r="B105" s="999"/>
      <c r="C105" s="999"/>
      <c r="D105" s="999"/>
      <c r="E105" s="999"/>
    </row>
    <row r="106" spans="1:5" x14ac:dyDescent="0.2">
      <c r="A106" s="999"/>
      <c r="B106" s="999"/>
      <c r="C106" s="999"/>
      <c r="D106" s="999"/>
      <c r="E106" s="999"/>
    </row>
    <row r="107" spans="1:5" x14ac:dyDescent="0.2">
      <c r="A107" s="999"/>
      <c r="B107" s="999"/>
      <c r="C107" s="999"/>
      <c r="D107" s="999"/>
      <c r="E107" s="999"/>
    </row>
    <row r="108" spans="1:5" x14ac:dyDescent="0.2">
      <c r="A108" s="999"/>
      <c r="B108" s="999"/>
      <c r="C108" s="999"/>
      <c r="D108" s="999"/>
      <c r="E108" s="999"/>
    </row>
    <row r="109" spans="1:5" x14ac:dyDescent="0.2">
      <c r="A109" s="999"/>
      <c r="B109" s="999"/>
      <c r="C109" s="999"/>
      <c r="D109" s="999"/>
      <c r="E109" s="999"/>
    </row>
    <row r="110" spans="1:5" x14ac:dyDescent="0.2">
      <c r="A110" s="999"/>
      <c r="B110" s="999"/>
      <c r="C110" s="999"/>
      <c r="D110" s="999"/>
      <c r="E110" s="999"/>
    </row>
    <row r="111" spans="1:5" x14ac:dyDescent="0.2">
      <c r="A111" s="999"/>
      <c r="B111" s="999"/>
      <c r="C111" s="999"/>
      <c r="D111" s="999"/>
      <c r="E111" s="999"/>
    </row>
    <row r="112" spans="1:5" x14ac:dyDescent="0.2">
      <c r="A112" s="999"/>
      <c r="B112" s="999"/>
      <c r="C112" s="999"/>
      <c r="D112" s="999"/>
      <c r="E112" s="999"/>
    </row>
    <row r="113" spans="1:5" x14ac:dyDescent="0.2">
      <c r="A113" s="999"/>
      <c r="B113" s="999"/>
      <c r="C113" s="999"/>
      <c r="D113" s="999"/>
      <c r="E113" s="999"/>
    </row>
    <row r="114" spans="1:5" x14ac:dyDescent="0.2">
      <c r="A114" s="999"/>
      <c r="B114" s="999"/>
      <c r="C114" s="999"/>
      <c r="D114" s="999"/>
      <c r="E114" s="999"/>
    </row>
    <row r="115" spans="1:5" x14ac:dyDescent="0.2">
      <c r="A115" s="999"/>
      <c r="B115" s="999"/>
      <c r="C115" s="999"/>
      <c r="D115" s="999"/>
      <c r="E115" s="999"/>
    </row>
    <row r="116" spans="1:5" x14ac:dyDescent="0.2">
      <c r="A116" s="999"/>
      <c r="B116" s="999"/>
      <c r="C116" s="999"/>
      <c r="D116" s="999"/>
      <c r="E116" s="999"/>
    </row>
    <row r="117" spans="1:5" x14ac:dyDescent="0.2">
      <c r="A117" s="999"/>
      <c r="B117" s="999"/>
      <c r="C117" s="999"/>
      <c r="D117" s="999"/>
      <c r="E117" s="999"/>
    </row>
    <row r="118" spans="1:5" x14ac:dyDescent="0.2">
      <c r="A118" s="999"/>
      <c r="B118" s="999"/>
      <c r="C118" s="999"/>
      <c r="D118" s="999"/>
      <c r="E118" s="999"/>
    </row>
    <row r="119" spans="1:5" x14ac:dyDescent="0.2">
      <c r="A119" s="999"/>
      <c r="B119" s="999"/>
      <c r="C119" s="999"/>
      <c r="D119" s="999"/>
      <c r="E119" s="999"/>
    </row>
    <row r="120" spans="1:5" x14ac:dyDescent="0.2">
      <c r="A120" s="999"/>
      <c r="B120" s="999"/>
      <c r="C120" s="999"/>
      <c r="D120" s="999"/>
      <c r="E120" s="999"/>
    </row>
    <row r="121" spans="1:5" x14ac:dyDescent="0.2">
      <c r="A121" s="999"/>
      <c r="B121" s="999"/>
      <c r="C121" s="999"/>
      <c r="D121" s="999"/>
      <c r="E121" s="999"/>
    </row>
    <row r="122" spans="1:5" x14ac:dyDescent="0.2">
      <c r="A122" s="999"/>
      <c r="B122" s="999"/>
      <c r="C122" s="999"/>
      <c r="D122" s="999"/>
      <c r="E122" s="999"/>
    </row>
    <row r="123" spans="1:5" x14ac:dyDescent="0.2">
      <c r="A123" s="999"/>
      <c r="B123" s="999"/>
      <c r="C123" s="999"/>
      <c r="D123" s="999"/>
      <c r="E123" s="999"/>
    </row>
    <row r="124" spans="1:5" x14ac:dyDescent="0.2">
      <c r="A124" s="999"/>
      <c r="B124" s="999"/>
      <c r="C124" s="999"/>
      <c r="D124" s="999"/>
      <c r="E124" s="999"/>
    </row>
    <row r="125" spans="1:5" x14ac:dyDescent="0.2">
      <c r="A125" s="999"/>
      <c r="B125" s="999"/>
      <c r="C125" s="999"/>
      <c r="D125" s="999"/>
      <c r="E125" s="999"/>
    </row>
    <row r="126" spans="1:5" x14ac:dyDescent="0.2">
      <c r="A126" s="999"/>
      <c r="B126" s="999"/>
      <c r="C126" s="999"/>
      <c r="D126" s="999"/>
      <c r="E126" s="999"/>
    </row>
    <row r="127" spans="1:5" x14ac:dyDescent="0.2">
      <c r="A127" s="999"/>
      <c r="B127" s="999"/>
      <c r="C127" s="999"/>
      <c r="D127" s="999"/>
      <c r="E127" s="999"/>
    </row>
    <row r="128" spans="1:5" x14ac:dyDescent="0.2">
      <c r="A128" s="999"/>
      <c r="B128" s="999"/>
      <c r="C128" s="999"/>
      <c r="D128" s="999"/>
      <c r="E128" s="999"/>
    </row>
    <row r="129" spans="1:5" x14ac:dyDescent="0.2">
      <c r="A129" s="999"/>
      <c r="B129" s="999"/>
      <c r="C129" s="999"/>
      <c r="D129" s="999"/>
      <c r="E129" s="999"/>
    </row>
    <row r="130" spans="1:5" x14ac:dyDescent="0.2">
      <c r="A130" s="999"/>
      <c r="B130" s="999"/>
      <c r="C130" s="999"/>
      <c r="D130" s="999"/>
      <c r="E130" s="999"/>
    </row>
    <row r="131" spans="1:5" x14ac:dyDescent="0.2">
      <c r="A131" s="999"/>
      <c r="B131" s="999"/>
      <c r="C131" s="999"/>
      <c r="D131" s="999"/>
      <c r="E131" s="999"/>
    </row>
    <row r="132" spans="1:5" x14ac:dyDescent="0.2">
      <c r="A132" s="999"/>
      <c r="B132" s="999"/>
      <c r="C132" s="999"/>
      <c r="D132" s="999"/>
      <c r="E132" s="999"/>
    </row>
    <row r="133" spans="1:5" x14ac:dyDescent="0.2">
      <c r="A133" s="999"/>
      <c r="B133" s="999"/>
      <c r="C133" s="999"/>
      <c r="D133" s="999"/>
      <c r="E133" s="999"/>
    </row>
    <row r="134" spans="1:5" x14ac:dyDescent="0.2">
      <c r="A134" s="999"/>
      <c r="B134" s="999"/>
      <c r="C134" s="999"/>
      <c r="D134" s="999"/>
      <c r="E134" s="999"/>
    </row>
    <row r="135" spans="1:5" x14ac:dyDescent="0.2">
      <c r="A135" s="999"/>
      <c r="B135" s="999"/>
      <c r="C135" s="999"/>
      <c r="D135" s="999"/>
      <c r="E135" s="999"/>
    </row>
    <row r="136" spans="1:5" x14ac:dyDescent="0.2">
      <c r="A136" s="999"/>
      <c r="B136" s="999"/>
      <c r="C136" s="999"/>
      <c r="D136" s="999"/>
      <c r="E136" s="999"/>
    </row>
    <row r="137" spans="1:5" x14ac:dyDescent="0.2">
      <c r="A137" s="999"/>
      <c r="B137" s="999"/>
      <c r="C137" s="999"/>
      <c r="D137" s="999"/>
      <c r="E137" s="999"/>
    </row>
    <row r="138" spans="1:5" x14ac:dyDescent="0.2">
      <c r="A138" s="999"/>
      <c r="B138" s="999"/>
      <c r="C138" s="999"/>
      <c r="D138" s="999"/>
      <c r="E138" s="999"/>
    </row>
    <row r="139" spans="1:5" x14ac:dyDescent="0.2">
      <c r="A139" s="999"/>
      <c r="B139" s="999"/>
      <c r="C139" s="999"/>
      <c r="D139" s="999"/>
      <c r="E139" s="999"/>
    </row>
    <row r="140" spans="1:5" x14ac:dyDescent="0.2">
      <c r="A140" s="999"/>
      <c r="B140" s="999"/>
      <c r="C140" s="999"/>
      <c r="D140" s="999"/>
      <c r="E140" s="999"/>
    </row>
    <row r="141" spans="1:5" x14ac:dyDescent="0.2">
      <c r="A141" s="999"/>
      <c r="B141" s="999"/>
      <c r="C141" s="999"/>
      <c r="D141" s="999"/>
      <c r="E141" s="999"/>
    </row>
    <row r="142" spans="1:5" x14ac:dyDescent="0.2">
      <c r="A142" s="999"/>
      <c r="B142" s="999"/>
      <c r="C142" s="999"/>
      <c r="D142" s="999"/>
      <c r="E142" s="999"/>
    </row>
    <row r="143" spans="1:5" x14ac:dyDescent="0.2">
      <c r="A143" s="999"/>
      <c r="B143" s="999"/>
      <c r="C143" s="999"/>
      <c r="D143" s="999"/>
      <c r="E143" s="999"/>
    </row>
    <row r="144" spans="1:5" x14ac:dyDescent="0.2">
      <c r="A144" s="999"/>
      <c r="B144" s="999"/>
      <c r="C144" s="999"/>
      <c r="D144" s="999"/>
      <c r="E144" s="999"/>
    </row>
    <row r="145" spans="1:5" x14ac:dyDescent="0.2">
      <c r="A145" s="999"/>
      <c r="B145" s="999"/>
      <c r="C145" s="999"/>
      <c r="D145" s="999"/>
      <c r="E145" s="999"/>
    </row>
    <row r="146" spans="1:5" x14ac:dyDescent="0.2">
      <c r="A146" s="999"/>
      <c r="B146" s="999"/>
      <c r="C146" s="999"/>
      <c r="D146" s="999"/>
      <c r="E146" s="999"/>
    </row>
    <row r="147" spans="1:5" x14ac:dyDescent="0.2">
      <c r="A147" s="999"/>
      <c r="B147" s="999"/>
      <c r="C147" s="999"/>
      <c r="D147" s="999"/>
      <c r="E147" s="999"/>
    </row>
    <row r="148" spans="1:5" x14ac:dyDescent="0.2">
      <c r="A148" s="999"/>
      <c r="B148" s="999"/>
      <c r="C148" s="999"/>
      <c r="D148" s="999"/>
      <c r="E148" s="999"/>
    </row>
  </sheetData>
  <sheetProtection algorithmName="SHA-512" hashValue="Go2sWHT7JMNfPE+Wf4W4MhSzVc5X1zKyQWIqD8tilK3d1ckcxi4kih0WfUww5BYvp0hSur+xsuMFK6B/ypAZqA==" saltValue="v5d+3DSPnjEQvn21uNG7MQ==" spinCount="100000" sheet="1" objects="1" scenarios="1"/>
  <mergeCells count="16">
    <mergeCell ref="A52:A54"/>
    <mergeCell ref="B30:B32"/>
    <mergeCell ref="B34:B49"/>
    <mergeCell ref="B6:B7"/>
    <mergeCell ref="A6:A7"/>
    <mergeCell ref="A30:A51"/>
    <mergeCell ref="E10:E17"/>
    <mergeCell ref="A10:A18"/>
    <mergeCell ref="B10:B18"/>
    <mergeCell ref="B27:B28"/>
    <mergeCell ref="A26:A28"/>
    <mergeCell ref="E26:E28"/>
    <mergeCell ref="E19:E22"/>
    <mergeCell ref="C19:C22"/>
    <mergeCell ref="B19:B25"/>
    <mergeCell ref="A19:A25"/>
  </mergeCells>
  <pageMargins left="0.70866141732283472" right="0.70866141732283472" top="0.78740157480314965" bottom="0.78740157480314965" header="0.31496062992125984" footer="0.31496062992125984"/>
  <pageSetup paperSize="9" scale="75" fitToHeight="6" orientation="landscape"/>
  <headerFooter>
    <oddFooter>&amp;LVersion: 22.11.2024&amp;CVerhandlungsunterlagen SGB XI (B3 vereinfacht)</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dimension ref="A1:Q101"/>
  <sheetViews>
    <sheetView topLeftCell="A80" workbookViewId="0">
      <selection activeCell="B93" sqref="B93"/>
    </sheetView>
  </sheetViews>
  <sheetFormatPr baseColWidth="10" defaultRowHeight="14.25" x14ac:dyDescent="0.2"/>
  <cols>
    <col min="1" max="1" width="22.625" customWidth="1"/>
    <col min="12" max="12" width="11" customWidth="1"/>
    <col min="13" max="13" width="11.5" customWidth="1"/>
    <col min="14" max="14" width="23.875" customWidth="1"/>
  </cols>
  <sheetData>
    <row r="1" spans="1:11" s="60" customFormat="1" ht="15" x14ac:dyDescent="0.25">
      <c r="A1" s="60" t="s">
        <v>123</v>
      </c>
      <c r="B1" s="60" t="s">
        <v>124</v>
      </c>
      <c r="C1" s="60" t="s">
        <v>74</v>
      </c>
      <c r="D1" s="60" t="s">
        <v>125</v>
      </c>
      <c r="E1" s="61" t="s">
        <v>126</v>
      </c>
      <c r="F1" s="60" t="s">
        <v>127</v>
      </c>
    </row>
    <row r="2" spans="1:11" x14ac:dyDescent="0.2">
      <c r="A2" s="62" t="s">
        <v>133</v>
      </c>
      <c r="B2" s="63" t="s">
        <v>129</v>
      </c>
      <c r="C2" s="62">
        <v>30.42</v>
      </c>
      <c r="D2" s="62">
        <v>365</v>
      </c>
      <c r="E2" s="64">
        <v>1</v>
      </c>
      <c r="F2" s="62" t="s">
        <v>130</v>
      </c>
      <c r="G2" s="62"/>
      <c r="J2" s="172">
        <v>43643</v>
      </c>
    </row>
    <row r="3" spans="1:11" x14ac:dyDescent="0.2">
      <c r="A3" s="62" t="s">
        <v>134</v>
      </c>
      <c r="B3" s="62"/>
      <c r="C3" s="62">
        <v>26</v>
      </c>
      <c r="D3" s="62">
        <v>312</v>
      </c>
      <c r="E3" s="64">
        <v>0.99</v>
      </c>
      <c r="F3" s="62" t="s">
        <v>132</v>
      </c>
      <c r="G3" s="62"/>
      <c r="J3" s="171" t="s">
        <v>326</v>
      </c>
    </row>
    <row r="4" spans="1:11" x14ac:dyDescent="0.2">
      <c r="A4" s="62" t="s">
        <v>128</v>
      </c>
      <c r="C4" s="62">
        <v>20.83</v>
      </c>
      <c r="D4" s="62">
        <v>250</v>
      </c>
      <c r="E4" s="64">
        <v>0.98</v>
      </c>
      <c r="F4" s="62"/>
      <c r="G4" s="62"/>
    </row>
    <row r="5" spans="1:11" x14ac:dyDescent="0.2">
      <c r="A5" s="62" t="s">
        <v>392</v>
      </c>
      <c r="C5" s="62"/>
      <c r="D5" s="62"/>
      <c r="E5" s="64">
        <v>0.97</v>
      </c>
      <c r="J5" s="1" t="s">
        <v>331</v>
      </c>
      <c r="K5" s="1" t="s">
        <v>332</v>
      </c>
    </row>
    <row r="6" spans="1:11" x14ac:dyDescent="0.2">
      <c r="A6" s="62" t="s">
        <v>30</v>
      </c>
      <c r="E6" s="64">
        <v>0.96</v>
      </c>
    </row>
    <row r="7" spans="1:11" x14ac:dyDescent="0.2">
      <c r="A7" s="62" t="s">
        <v>131</v>
      </c>
      <c r="E7" s="64">
        <v>0.95</v>
      </c>
      <c r="J7" s="187">
        <v>43762</v>
      </c>
    </row>
    <row r="8" spans="1:11" x14ac:dyDescent="0.2">
      <c r="A8" s="62"/>
      <c r="E8" s="64">
        <v>0.94</v>
      </c>
    </row>
    <row r="9" spans="1:11" x14ac:dyDescent="0.2">
      <c r="E9" s="64">
        <v>0.93</v>
      </c>
    </row>
    <row r="10" spans="1:11" x14ac:dyDescent="0.2">
      <c r="A10" s="62" t="s">
        <v>410</v>
      </c>
      <c r="E10" s="64">
        <v>0.92</v>
      </c>
    </row>
    <row r="11" spans="1:11" x14ac:dyDescent="0.2">
      <c r="A11" s="62" t="s">
        <v>411</v>
      </c>
      <c r="E11" s="64">
        <v>0.91</v>
      </c>
    </row>
    <row r="12" spans="1:11" x14ac:dyDescent="0.2">
      <c r="E12" s="64">
        <v>0.9</v>
      </c>
    </row>
    <row r="13" spans="1:11" x14ac:dyDescent="0.2">
      <c r="E13" s="64">
        <v>0.89</v>
      </c>
    </row>
    <row r="14" spans="1:11" x14ac:dyDescent="0.2">
      <c r="E14" s="64">
        <v>0.88</v>
      </c>
    </row>
    <row r="15" spans="1:11" x14ac:dyDescent="0.2">
      <c r="A15" s="37"/>
      <c r="E15" s="64">
        <v>0.87</v>
      </c>
    </row>
    <row r="16" spans="1:11" x14ac:dyDescent="0.2">
      <c r="A16" s="37"/>
      <c r="E16" s="64">
        <v>0.86</v>
      </c>
    </row>
    <row r="17" spans="1:16" x14ac:dyDescent="0.2">
      <c r="E17" s="64">
        <v>0.85</v>
      </c>
    </row>
    <row r="18" spans="1:16" x14ac:dyDescent="0.2">
      <c r="A18" s="50"/>
      <c r="E18" s="62"/>
    </row>
    <row r="19" spans="1:16" x14ac:dyDescent="0.2">
      <c r="A19" s="50"/>
    </row>
    <row r="20" spans="1:16" ht="15" thickBot="1" x14ac:dyDescent="0.25">
      <c r="A20" s="162" t="s">
        <v>244</v>
      </c>
      <c r="B20" s="151"/>
      <c r="C20" s="151"/>
      <c r="D20" s="151"/>
      <c r="E20" s="151"/>
      <c r="F20" s="128"/>
      <c r="G20" s="128"/>
      <c r="H20" s="128"/>
      <c r="I20" s="128"/>
      <c r="J20" s="128"/>
      <c r="K20" s="156"/>
      <c r="L20" s="156"/>
      <c r="M20" s="128"/>
      <c r="N20" s="128"/>
      <c r="O20" s="128"/>
      <c r="P20" s="128"/>
    </row>
    <row r="21" spans="1:16" ht="15.75" thickTop="1" thickBot="1" x14ac:dyDescent="0.25">
      <c r="A21" s="128"/>
      <c r="B21" s="128"/>
      <c r="C21" s="128"/>
      <c r="D21" s="128"/>
      <c r="E21" s="128"/>
      <c r="F21" s="128"/>
      <c r="G21" s="128"/>
      <c r="H21" s="128"/>
      <c r="I21" s="128"/>
      <c r="J21" s="128"/>
      <c r="K21" s="128"/>
      <c r="L21" s="128"/>
      <c r="M21" s="128"/>
      <c r="N21" s="128"/>
      <c r="O21" s="128"/>
      <c r="P21" s="128"/>
    </row>
    <row r="22" spans="1:16" x14ac:dyDescent="0.2">
      <c r="A22" s="129" t="s">
        <v>206</v>
      </c>
      <c r="B22" s="130" t="s">
        <v>216</v>
      </c>
      <c r="C22" s="128"/>
      <c r="D22" s="128"/>
      <c r="E22" s="128"/>
      <c r="F22" s="128"/>
      <c r="G22" s="128"/>
      <c r="H22" s="128"/>
      <c r="I22" s="128"/>
      <c r="J22" s="160" t="s">
        <v>227</v>
      </c>
      <c r="K22" s="128"/>
      <c r="L22" s="128"/>
      <c r="M22" s="155"/>
      <c r="N22" s="128"/>
      <c r="O22" s="128"/>
      <c r="P22" s="128"/>
    </row>
    <row r="23" spans="1:16" x14ac:dyDescent="0.2">
      <c r="A23" s="131">
        <v>1</v>
      </c>
      <c r="B23" s="132">
        <f>IF(B3_Kalkulation!H14&lt;&gt;0,B3_Gesamtkalkulation!H47,0)</f>
        <v>0</v>
      </c>
      <c r="C23" s="128"/>
      <c r="D23" s="128"/>
      <c r="E23" s="128"/>
      <c r="F23" s="128"/>
      <c r="G23" s="128"/>
      <c r="H23" s="128"/>
      <c r="I23" s="128"/>
      <c r="J23" s="128" t="s">
        <v>228</v>
      </c>
      <c r="K23" s="128"/>
      <c r="L23" s="128"/>
      <c r="M23" s="128"/>
      <c r="N23" s="128"/>
      <c r="O23" s="128"/>
      <c r="P23" s="128"/>
    </row>
    <row r="24" spans="1:16" ht="15" thickBot="1" x14ac:dyDescent="0.25">
      <c r="A24" s="131">
        <v>2</v>
      </c>
      <c r="B24" s="159">
        <f>IF(B3_Kalkulation!I14&lt;&gt;0,B3_Gesamtkalkulation!J47,0)</f>
        <v>0</v>
      </c>
      <c r="C24" s="128"/>
      <c r="D24" s="128"/>
      <c r="E24" s="128"/>
      <c r="F24" s="128"/>
      <c r="G24" s="128"/>
      <c r="H24" s="128"/>
      <c r="I24" s="128"/>
      <c r="J24" s="128" t="s">
        <v>229</v>
      </c>
      <c r="K24" s="128"/>
      <c r="L24" s="128"/>
      <c r="M24" s="128"/>
      <c r="N24" s="128"/>
      <c r="O24" s="128"/>
      <c r="P24" s="128"/>
    </row>
    <row r="25" spans="1:16" x14ac:dyDescent="0.2">
      <c r="A25" s="131">
        <v>3</v>
      </c>
      <c r="B25" s="159">
        <f>IF(B3_Kalkulation!J14&lt;&gt;0,B3_Gesamtkalkulation!L47,0)</f>
        <v>0</v>
      </c>
      <c r="C25" s="128"/>
      <c r="D25" s="133" t="s">
        <v>213</v>
      </c>
      <c r="E25" s="134"/>
      <c r="F25" s="152" t="str">
        <f>IF('B3_Allgemeine Angaben'!D7="tst","tst",IF('B3_Allgemeine Angaben'!D7="kzp","KZP",""))</f>
        <v/>
      </c>
      <c r="G25" s="135"/>
      <c r="H25" s="128"/>
      <c r="I25" s="128"/>
      <c r="J25" s="128" t="s">
        <v>230</v>
      </c>
      <c r="K25" s="128"/>
      <c r="L25" s="128"/>
      <c r="M25" s="128"/>
      <c r="N25" s="128"/>
      <c r="O25" s="128"/>
      <c r="P25" s="128"/>
    </row>
    <row r="26" spans="1:16" ht="15" thickBot="1" x14ac:dyDescent="0.25">
      <c r="A26" s="131">
        <v>4</v>
      </c>
      <c r="B26" s="159">
        <f>IF(B3_Kalkulation!K14&lt;&gt;0,B3_Gesamtkalkulation!N47,0)</f>
        <v>0</v>
      </c>
      <c r="C26" s="128"/>
      <c r="D26" s="136" t="s">
        <v>226</v>
      </c>
      <c r="E26" s="137"/>
      <c r="F26" s="137"/>
      <c r="G26" s="138"/>
      <c r="H26" s="128"/>
      <c r="I26" s="128"/>
      <c r="J26" s="128"/>
      <c r="K26" s="128"/>
      <c r="L26" s="128"/>
      <c r="M26" s="128"/>
      <c r="N26" s="128"/>
      <c r="O26" s="128"/>
      <c r="P26" s="128"/>
    </row>
    <row r="27" spans="1:16" x14ac:dyDescent="0.2">
      <c r="A27" s="139">
        <v>5</v>
      </c>
      <c r="B27" s="132">
        <f>IF(B3_Kalkulation!L14&lt;&gt;0,B3_Gesamtkalkulation!P47,0)</f>
        <v>0</v>
      </c>
      <c r="C27" s="128"/>
      <c r="D27" s="128"/>
      <c r="E27" s="128"/>
      <c r="F27" s="128"/>
      <c r="G27" s="128"/>
      <c r="H27" s="128"/>
      <c r="I27" s="128"/>
      <c r="J27" s="128"/>
      <c r="K27" s="128"/>
      <c r="L27" s="128"/>
      <c r="M27" s="128"/>
      <c r="N27" s="128"/>
      <c r="O27" s="128"/>
      <c r="P27" s="128"/>
    </row>
    <row r="28" spans="1:16" x14ac:dyDescent="0.2">
      <c r="A28" s="140"/>
      <c r="B28" s="128"/>
      <c r="C28" s="128"/>
      <c r="D28" s="128"/>
      <c r="E28" s="128"/>
      <c r="F28" s="128"/>
      <c r="G28" s="128"/>
      <c r="H28" s="128"/>
      <c r="I28" s="128"/>
      <c r="J28" s="128"/>
      <c r="K28" s="128"/>
      <c r="L28" s="161" t="s">
        <v>231</v>
      </c>
      <c r="M28" s="128"/>
      <c r="N28" s="128"/>
      <c r="O28" s="128"/>
      <c r="P28" s="128"/>
    </row>
    <row r="29" spans="1:16" x14ac:dyDescent="0.2">
      <c r="A29" s="128" t="s">
        <v>221</v>
      </c>
      <c r="B29" s="128"/>
      <c r="C29" s="128"/>
      <c r="D29" s="128"/>
      <c r="E29" s="128" t="s">
        <v>220</v>
      </c>
      <c r="F29" s="128"/>
      <c r="G29" s="128"/>
      <c r="H29" s="128"/>
      <c r="I29" s="128"/>
      <c r="J29" s="128"/>
      <c r="K29" s="128"/>
      <c r="L29" s="128" t="s">
        <v>245</v>
      </c>
      <c r="M29" s="128"/>
      <c r="N29" s="128"/>
      <c r="O29" s="128"/>
      <c r="P29" s="128"/>
    </row>
    <row r="30" spans="1:16" x14ac:dyDescent="0.2">
      <c r="A30" s="141"/>
      <c r="B30" s="142" t="s">
        <v>208</v>
      </c>
      <c r="C30" s="141" t="s">
        <v>209</v>
      </c>
      <c r="D30" s="143" t="s">
        <v>218</v>
      </c>
      <c r="E30" s="144" t="s">
        <v>219</v>
      </c>
      <c r="F30" s="142"/>
      <c r="G30" s="141" t="s">
        <v>217</v>
      </c>
      <c r="H30" s="141" t="s">
        <v>224</v>
      </c>
      <c r="I30" s="142"/>
      <c r="J30" s="142" t="s">
        <v>212</v>
      </c>
      <c r="K30" s="128"/>
      <c r="L30" s="128" t="s">
        <v>232</v>
      </c>
      <c r="M30" s="128"/>
      <c r="N30" s="128"/>
      <c r="O30" s="128"/>
      <c r="P30" s="128"/>
    </row>
    <row r="31" spans="1:16" x14ac:dyDescent="0.2">
      <c r="A31" s="145"/>
      <c r="B31" s="146"/>
      <c r="C31" s="147"/>
      <c r="D31" s="147">
        <f>IF(B23=0,B24*B55/C55,0)</f>
        <v>0</v>
      </c>
      <c r="E31" s="146">
        <f>IF(B23=0,B24*B48/C48,0)</f>
        <v>0</v>
      </c>
      <c r="F31" s="146"/>
      <c r="G31" s="147">
        <f>IF(F25="tst",D31,E31)</f>
        <v>0</v>
      </c>
      <c r="H31" s="154">
        <f>IF(B23=0,G31,B23)</f>
        <v>0</v>
      </c>
      <c r="I31" s="128"/>
      <c r="J31" s="148" t="s">
        <v>201</v>
      </c>
      <c r="K31" s="128"/>
      <c r="L31" s="128" t="s">
        <v>233</v>
      </c>
      <c r="M31" s="128"/>
      <c r="N31" s="128"/>
      <c r="O31" s="128"/>
      <c r="P31" s="128"/>
    </row>
    <row r="32" spans="1:16" x14ac:dyDescent="0.2">
      <c r="A32" s="145"/>
      <c r="B32" s="157"/>
      <c r="C32" s="158"/>
      <c r="D32" s="158"/>
      <c r="E32" s="157"/>
      <c r="F32" s="157"/>
      <c r="G32" s="158"/>
      <c r="H32" s="154">
        <f>IF(B24=0,G32,B24)</f>
        <v>0</v>
      </c>
      <c r="I32" s="128"/>
      <c r="J32" s="148" t="s">
        <v>205</v>
      </c>
      <c r="K32" s="128"/>
      <c r="L32" s="128" t="s">
        <v>234</v>
      </c>
      <c r="M32" s="128"/>
      <c r="N32" s="128"/>
      <c r="O32" s="128"/>
      <c r="P32" s="128"/>
    </row>
    <row r="33" spans="1:16" x14ac:dyDescent="0.2">
      <c r="A33" s="145"/>
      <c r="B33" s="157"/>
      <c r="C33" s="158"/>
      <c r="D33" s="158"/>
      <c r="E33" s="157"/>
      <c r="F33" s="157"/>
      <c r="G33" s="158"/>
      <c r="H33" s="154">
        <f>IF(B25=0,G33,B25)</f>
        <v>0</v>
      </c>
      <c r="I33" s="128"/>
      <c r="J33" s="148" t="s">
        <v>204</v>
      </c>
      <c r="K33" s="128"/>
      <c r="L33" s="128" t="s">
        <v>235</v>
      </c>
      <c r="M33" s="128"/>
      <c r="N33" s="128"/>
      <c r="O33" s="128"/>
      <c r="P33" s="128"/>
    </row>
    <row r="34" spans="1:16" x14ac:dyDescent="0.2">
      <c r="A34" s="145"/>
      <c r="B34" s="157"/>
      <c r="C34" s="158"/>
      <c r="D34" s="158"/>
      <c r="E34" s="157"/>
      <c r="F34" s="157"/>
      <c r="G34" s="158"/>
      <c r="H34" s="154">
        <f>IF(B26=0,G34,B26)</f>
        <v>0</v>
      </c>
      <c r="I34" s="128"/>
      <c r="J34" s="148" t="s">
        <v>203</v>
      </c>
      <c r="K34" s="128"/>
      <c r="L34" s="128" t="s">
        <v>236</v>
      </c>
      <c r="M34" s="128"/>
      <c r="N34" s="128"/>
      <c r="O34" s="128"/>
      <c r="P34" s="128"/>
    </row>
    <row r="35" spans="1:16" x14ac:dyDescent="0.2">
      <c r="A35" s="145"/>
      <c r="B35" s="146"/>
      <c r="C35" s="147"/>
      <c r="D35" s="149">
        <f>IF(B27=0,B26/E55*F55,0)</f>
        <v>0</v>
      </c>
      <c r="E35" s="146">
        <f>IF(B27=0,B26*F48/E48,0)</f>
        <v>0</v>
      </c>
      <c r="F35" s="146"/>
      <c r="G35" s="147">
        <f>IF(F25="tst",D35,E35)</f>
        <v>0</v>
      </c>
      <c r="H35" s="154">
        <f>IF(B27=0,G35,B27)</f>
        <v>0</v>
      </c>
      <c r="I35" s="128"/>
      <c r="J35" s="148" t="s">
        <v>202</v>
      </c>
      <c r="K35" s="128"/>
      <c r="L35" s="128" t="s">
        <v>237</v>
      </c>
      <c r="M35" s="128"/>
      <c r="N35" s="128"/>
      <c r="O35" s="128"/>
      <c r="P35" s="128"/>
    </row>
    <row r="36" spans="1:16" x14ac:dyDescent="0.2">
      <c r="A36" s="128"/>
      <c r="B36" s="128"/>
      <c r="C36" s="128"/>
      <c r="D36" s="128"/>
      <c r="E36" s="128"/>
      <c r="F36" s="128"/>
      <c r="G36" s="128"/>
      <c r="H36" s="128"/>
      <c r="I36" s="128"/>
      <c r="J36" s="128"/>
      <c r="K36" s="128"/>
      <c r="L36" s="128" t="s">
        <v>238</v>
      </c>
      <c r="M36" s="128"/>
      <c r="N36" s="128"/>
      <c r="O36" s="128"/>
      <c r="P36" s="128"/>
    </row>
    <row r="37" spans="1:16" x14ac:dyDescent="0.2">
      <c r="A37" s="150"/>
      <c r="B37" s="150"/>
      <c r="C37" s="150"/>
      <c r="D37" s="128"/>
      <c r="E37" s="128"/>
      <c r="F37" s="128"/>
      <c r="G37" s="128"/>
      <c r="H37" s="128"/>
      <c r="I37" s="128"/>
      <c r="J37" s="150"/>
      <c r="K37" s="150"/>
      <c r="L37" s="128" t="s">
        <v>239</v>
      </c>
      <c r="M37" s="150"/>
      <c r="N37" s="150"/>
      <c r="O37" s="150"/>
      <c r="P37" s="150"/>
    </row>
    <row r="38" spans="1:16" x14ac:dyDescent="0.2">
      <c r="A38" s="153" t="s">
        <v>223</v>
      </c>
      <c r="B38" s="153"/>
      <c r="C38" s="153"/>
      <c r="D38" s="153"/>
      <c r="E38" s="153"/>
      <c r="F38" s="153"/>
      <c r="G38" s="153"/>
      <c r="H38" s="153"/>
      <c r="I38" s="153"/>
      <c r="J38" s="127"/>
      <c r="K38" s="127"/>
      <c r="L38" s="153" t="s">
        <v>240</v>
      </c>
      <c r="M38" s="127"/>
      <c r="N38" s="127"/>
      <c r="O38" s="127"/>
      <c r="P38" s="127"/>
    </row>
    <row r="39" spans="1:16" x14ac:dyDescent="0.2">
      <c r="A39" s="153" t="s">
        <v>222</v>
      </c>
      <c r="B39" s="127"/>
      <c r="C39" s="127"/>
      <c r="D39" s="127"/>
      <c r="E39" s="127"/>
      <c r="F39" s="127"/>
      <c r="G39" s="127"/>
      <c r="H39" s="127"/>
      <c r="I39" s="127"/>
      <c r="J39" s="153"/>
      <c r="K39" s="127"/>
      <c r="L39" s="153" t="s">
        <v>241</v>
      </c>
      <c r="M39" s="127"/>
      <c r="N39" s="127"/>
      <c r="O39" s="127"/>
      <c r="P39" s="127"/>
    </row>
    <row r="40" spans="1:16" x14ac:dyDescent="0.2">
      <c r="A40" s="153"/>
      <c r="B40" s="153"/>
      <c r="C40" s="153"/>
      <c r="D40" s="153"/>
      <c r="E40" s="153"/>
      <c r="F40" s="153"/>
      <c r="G40" s="153"/>
      <c r="H40" s="153"/>
      <c r="I40" s="153"/>
      <c r="J40" s="153"/>
      <c r="K40" s="127"/>
      <c r="L40" s="153" t="s">
        <v>242</v>
      </c>
      <c r="M40" s="127"/>
      <c r="N40" s="127"/>
      <c r="O40" s="127"/>
      <c r="P40" s="127"/>
    </row>
    <row r="41" spans="1:16" x14ac:dyDescent="0.2">
      <c r="A41" s="153"/>
      <c r="B41" s="153"/>
      <c r="C41" s="153"/>
      <c r="D41" s="153"/>
      <c r="E41" s="153"/>
      <c r="F41" s="153"/>
      <c r="G41" s="153"/>
      <c r="H41" s="153"/>
      <c r="I41" s="153"/>
      <c r="J41" s="153"/>
      <c r="K41" s="127"/>
      <c r="L41" s="153" t="s">
        <v>243</v>
      </c>
      <c r="M41" s="127"/>
      <c r="N41" s="127"/>
      <c r="O41" s="127"/>
      <c r="P41" s="127"/>
    </row>
    <row r="42" spans="1:16" x14ac:dyDescent="0.2">
      <c r="A42" s="127"/>
      <c r="B42" s="127"/>
      <c r="C42" s="127"/>
      <c r="D42" s="127"/>
      <c r="E42" s="127"/>
      <c r="F42" s="127"/>
      <c r="G42" s="127"/>
      <c r="H42" s="127"/>
      <c r="I42" s="127"/>
      <c r="J42" s="127"/>
      <c r="K42" s="127"/>
      <c r="L42" s="127"/>
      <c r="M42" s="127"/>
      <c r="N42" s="127"/>
      <c r="O42" s="127"/>
      <c r="P42" s="127"/>
    </row>
    <row r="44" spans="1:16" x14ac:dyDescent="0.2">
      <c r="A44" s="100"/>
      <c r="B44" s="966" t="s">
        <v>200</v>
      </c>
      <c r="C44" s="966"/>
      <c r="D44" s="966"/>
      <c r="E44" s="966"/>
      <c r="F44" s="966"/>
    </row>
    <row r="45" spans="1:16" ht="15" thickBot="1" x14ac:dyDescent="0.25">
      <c r="A45" s="100"/>
      <c r="B45" s="101"/>
      <c r="C45" s="102"/>
      <c r="D45" s="100"/>
      <c r="E45" s="40"/>
      <c r="F45" s="40"/>
    </row>
    <row r="46" spans="1:16" x14ac:dyDescent="0.2">
      <c r="A46" s="100"/>
      <c r="B46" s="103" t="s">
        <v>201</v>
      </c>
      <c r="C46" s="103" t="s">
        <v>205</v>
      </c>
      <c r="D46" s="103" t="s">
        <v>204</v>
      </c>
      <c r="E46" s="103" t="s">
        <v>203</v>
      </c>
      <c r="F46" s="103" t="s">
        <v>202</v>
      </c>
    </row>
    <row r="47" spans="1:16" ht="15" thickBot="1" x14ac:dyDescent="0.25">
      <c r="A47" s="100"/>
      <c r="B47" s="104"/>
      <c r="C47" s="104"/>
      <c r="D47" s="104"/>
      <c r="E47" s="104"/>
      <c r="F47" s="104"/>
    </row>
    <row r="48" spans="1:16" x14ac:dyDescent="0.2">
      <c r="A48" s="967" t="s">
        <v>225</v>
      </c>
      <c r="B48" s="173">
        <v>0.78</v>
      </c>
      <c r="C48" s="173">
        <v>1</v>
      </c>
      <c r="D48" s="173">
        <v>1.36</v>
      </c>
      <c r="E48" s="173">
        <v>1.74</v>
      </c>
      <c r="F48" s="174">
        <v>1.91</v>
      </c>
    </row>
    <row r="49" spans="1:10" ht="15" thickBot="1" x14ac:dyDescent="0.25">
      <c r="A49" s="968"/>
      <c r="B49" s="105"/>
      <c r="C49" s="123">
        <f>C48/B48-1</f>
        <v>0.28205128205128194</v>
      </c>
      <c r="D49" s="123">
        <f>D48/C48-1</f>
        <v>0.3600000000000001</v>
      </c>
      <c r="E49" s="123">
        <f>E48/D48-1</f>
        <v>0.27941176470588225</v>
      </c>
      <c r="F49" s="124">
        <f>F48/E48-1</f>
        <v>9.7701149425287293E-2</v>
      </c>
    </row>
    <row r="50" spans="1:10" ht="15" thickBot="1" x14ac:dyDescent="0.25">
      <c r="A50" s="41"/>
      <c r="B50" s="106"/>
      <c r="C50" s="106"/>
      <c r="D50" s="106"/>
      <c r="E50" s="106"/>
      <c r="F50" s="106"/>
    </row>
    <row r="51" spans="1:10" x14ac:dyDescent="0.2">
      <c r="A51" s="969" t="s">
        <v>211</v>
      </c>
      <c r="B51" s="107">
        <v>125</v>
      </c>
      <c r="C51" s="107">
        <v>770</v>
      </c>
      <c r="D51" s="107">
        <v>1262</v>
      </c>
      <c r="E51" s="107">
        <v>1775</v>
      </c>
      <c r="F51" s="108">
        <v>2005</v>
      </c>
    </row>
    <row r="52" spans="1:10" x14ac:dyDescent="0.2">
      <c r="A52" s="970"/>
      <c r="B52" s="109"/>
      <c r="C52" s="110">
        <v>1</v>
      </c>
      <c r="D52" s="111">
        <f>D51/C51</f>
        <v>1.638961038961039</v>
      </c>
      <c r="E52" s="111">
        <f>E51/C51</f>
        <v>2.3051948051948052</v>
      </c>
      <c r="F52" s="112">
        <f>F51/C51</f>
        <v>2.6038961038961039</v>
      </c>
    </row>
    <row r="53" spans="1:10" ht="15" thickBot="1" x14ac:dyDescent="0.25">
      <c r="A53" s="971"/>
      <c r="B53" s="113"/>
      <c r="C53" s="114"/>
      <c r="D53" s="121">
        <f>D51/C51-1</f>
        <v>0.63896103896103895</v>
      </c>
      <c r="E53" s="121">
        <f t="shared" ref="E53:F53" si="0">E51/D51-1</f>
        <v>0.40649762282091917</v>
      </c>
      <c r="F53" s="122">
        <f t="shared" si="0"/>
        <v>0.12957746478873244</v>
      </c>
    </row>
    <row r="54" spans="1:10" ht="15" thickBot="1" x14ac:dyDescent="0.25">
      <c r="A54" s="40"/>
      <c r="B54" s="115"/>
      <c r="C54" s="115"/>
      <c r="D54" s="115"/>
      <c r="E54" s="115"/>
      <c r="F54" s="115"/>
    </row>
    <row r="55" spans="1:10" x14ac:dyDescent="0.2">
      <c r="A55" s="972" t="s">
        <v>210</v>
      </c>
      <c r="B55" s="116">
        <v>0.78</v>
      </c>
      <c r="C55" s="116">
        <v>1</v>
      </c>
      <c r="D55" s="116">
        <v>1.2</v>
      </c>
      <c r="E55" s="116">
        <v>1.4</v>
      </c>
      <c r="F55" s="117">
        <v>1.5</v>
      </c>
    </row>
    <row r="56" spans="1:10" ht="15" thickBot="1" x14ac:dyDescent="0.25">
      <c r="A56" s="973"/>
      <c r="B56" s="118"/>
      <c r="C56" s="119">
        <f>C55/B55-1</f>
        <v>0.28205128205128194</v>
      </c>
      <c r="D56" s="119">
        <f t="shared" ref="D56" si="1">D55/C55-1</f>
        <v>0.19999999999999996</v>
      </c>
      <c r="E56" s="119">
        <f>E55/D55-1</f>
        <v>0.16666666666666674</v>
      </c>
      <c r="F56" s="120">
        <f>F55/E55-1</f>
        <v>7.1428571428571397E-2</v>
      </c>
    </row>
    <row r="59" spans="1:10" x14ac:dyDescent="0.2">
      <c r="A59" s="177" t="s">
        <v>341</v>
      </c>
      <c r="B59" s="20"/>
      <c r="C59" s="20"/>
      <c r="D59" s="20"/>
      <c r="E59" s="20"/>
      <c r="F59" s="169"/>
      <c r="J59" s="163" t="s">
        <v>348</v>
      </c>
    </row>
    <row r="60" spans="1:10" x14ac:dyDescent="0.2">
      <c r="A60" s="19"/>
      <c r="F60" s="18"/>
    </row>
    <row r="61" spans="1:10" ht="15" thickBot="1" x14ac:dyDescent="0.25">
      <c r="A61" s="178" t="s">
        <v>342</v>
      </c>
      <c r="B61" s="170" t="s">
        <v>343</v>
      </c>
      <c r="C61" s="170" t="s">
        <v>344</v>
      </c>
      <c r="D61" s="179" t="s">
        <v>345</v>
      </c>
      <c r="E61" s="180"/>
      <c r="F61" s="18"/>
    </row>
    <row r="62" spans="1:10" ht="15" thickBot="1" x14ac:dyDescent="0.25">
      <c r="A62" s="176">
        <v>1</v>
      </c>
      <c r="B62" s="176">
        <v>40</v>
      </c>
      <c r="C62" s="181">
        <v>0.75</v>
      </c>
      <c r="D62" s="182">
        <f>IF('B3_Allgemeine Angaben'!L47&lt;A63,C62,IF('B3_Allgemeine Angaben'!L47&lt;A64,C63,IF('B3_Allgemeine Angaben'!L47&lt;A65,C64,C65)))</f>
        <v>0.75</v>
      </c>
      <c r="E62" s="183"/>
      <c r="F62" s="18"/>
    </row>
    <row r="63" spans="1:10" x14ac:dyDescent="0.2">
      <c r="A63" s="176">
        <v>41</v>
      </c>
      <c r="B63" s="176">
        <v>80</v>
      </c>
      <c r="C63" s="184">
        <v>1</v>
      </c>
      <c r="F63" s="18"/>
    </row>
    <row r="64" spans="1:10" x14ac:dyDescent="0.2">
      <c r="A64" s="176">
        <v>81</v>
      </c>
      <c r="B64" s="176">
        <v>150</v>
      </c>
      <c r="C64" s="184">
        <v>1.25</v>
      </c>
      <c r="F64" s="18"/>
    </row>
    <row r="65" spans="1:8" x14ac:dyDescent="0.2">
      <c r="A65" s="176">
        <v>151</v>
      </c>
      <c r="B65" s="176" t="s">
        <v>346</v>
      </c>
      <c r="C65" s="184">
        <v>2</v>
      </c>
      <c r="F65" s="18"/>
    </row>
    <row r="66" spans="1:8" x14ac:dyDescent="0.2">
      <c r="A66" s="185"/>
      <c r="B66" s="90"/>
      <c r="C66" s="90"/>
      <c r="D66" s="90"/>
      <c r="E66" s="90"/>
      <c r="F66" s="186"/>
    </row>
    <row r="68" spans="1:8" ht="71.25" x14ac:dyDescent="0.2">
      <c r="A68" s="188"/>
      <c r="B68" s="188" t="s">
        <v>349</v>
      </c>
      <c r="C68" s="188" t="s">
        <v>350</v>
      </c>
      <c r="D68" s="188" t="s">
        <v>351</v>
      </c>
      <c r="E68" s="189" t="s">
        <v>352</v>
      </c>
      <c r="F68" s="188" t="s">
        <v>353</v>
      </c>
    </row>
    <row r="69" spans="1:8" x14ac:dyDescent="0.2">
      <c r="A69" s="190" t="s">
        <v>57</v>
      </c>
      <c r="B69" s="191">
        <f>B3_Kalkulation!H14</f>
        <v>0</v>
      </c>
      <c r="C69" s="192">
        <f>B3_Kalkulation!I17</f>
        <v>0</v>
      </c>
      <c r="D69" s="176" t="e">
        <f>B69/C69</f>
        <v>#DIV/0!</v>
      </c>
      <c r="E69" s="193" t="e">
        <f>D69/$D$74</f>
        <v>#DIV/0!</v>
      </c>
      <c r="F69" s="176" t="e">
        <f>E69*$F$76</f>
        <v>#DIV/0!</v>
      </c>
    </row>
    <row r="70" spans="1:8" x14ac:dyDescent="0.2">
      <c r="A70" s="190" t="s">
        <v>58</v>
      </c>
      <c r="B70" s="191">
        <f>B3_Kalkulation!I14</f>
        <v>0</v>
      </c>
      <c r="C70" s="192">
        <f>B3_Kalkulation!I18</f>
        <v>0</v>
      </c>
      <c r="D70" s="176" t="e">
        <f t="shared" ref="D70:D73" si="2">B70/C70</f>
        <v>#DIV/0!</v>
      </c>
      <c r="E70" s="193" t="e">
        <f t="shared" ref="E70:E73" si="3">D70/$D$74</f>
        <v>#DIV/0!</v>
      </c>
      <c r="F70" s="176" t="e">
        <f t="shared" ref="F70:F73" si="4">E70*$F$76</f>
        <v>#DIV/0!</v>
      </c>
    </row>
    <row r="71" spans="1:8" x14ac:dyDescent="0.2">
      <c r="A71" s="190" t="s">
        <v>59</v>
      </c>
      <c r="B71" s="191">
        <f>B3_Kalkulation!J14</f>
        <v>0</v>
      </c>
      <c r="C71" s="192">
        <f>B3_Kalkulation!I19</f>
        <v>0</v>
      </c>
      <c r="D71" s="176" t="e">
        <f t="shared" si="2"/>
        <v>#DIV/0!</v>
      </c>
      <c r="E71" s="193" t="e">
        <f t="shared" si="3"/>
        <v>#DIV/0!</v>
      </c>
      <c r="F71" s="176" t="e">
        <f t="shared" si="4"/>
        <v>#DIV/0!</v>
      </c>
    </row>
    <row r="72" spans="1:8" x14ac:dyDescent="0.2">
      <c r="A72" s="190" t="s">
        <v>60</v>
      </c>
      <c r="B72" s="191">
        <f>B3_Kalkulation!K14</f>
        <v>0</v>
      </c>
      <c r="C72" s="192">
        <f>B3_Kalkulation!I20</f>
        <v>0</v>
      </c>
      <c r="D72" s="176" t="e">
        <f t="shared" si="2"/>
        <v>#DIV/0!</v>
      </c>
      <c r="E72" s="193" t="e">
        <f t="shared" si="3"/>
        <v>#DIV/0!</v>
      </c>
      <c r="F72" s="176" t="e">
        <f t="shared" si="4"/>
        <v>#DIV/0!</v>
      </c>
    </row>
    <row r="73" spans="1:8" ht="15" thickBot="1" x14ac:dyDescent="0.25">
      <c r="A73" s="194" t="s">
        <v>61</v>
      </c>
      <c r="B73" s="195">
        <f>B3_Kalkulation!L14</f>
        <v>0</v>
      </c>
      <c r="C73" s="196">
        <f>B3_Kalkulation!I21</f>
        <v>0</v>
      </c>
      <c r="D73" s="197" t="e">
        <f t="shared" si="2"/>
        <v>#DIV/0!</v>
      </c>
      <c r="E73" s="198" t="e">
        <f t="shared" si="3"/>
        <v>#DIV/0!</v>
      </c>
      <c r="F73" s="176" t="e">
        <f t="shared" si="4"/>
        <v>#DIV/0!</v>
      </c>
    </row>
    <row r="74" spans="1:8" x14ac:dyDescent="0.2">
      <c r="A74" s="199" t="s">
        <v>354</v>
      </c>
      <c r="B74" s="200">
        <f>SUM(B69:B73)</f>
        <v>0</v>
      </c>
      <c r="C74" s="201"/>
      <c r="D74" s="201" t="e">
        <f>SUM(D69:D73)</f>
        <v>#DIV/0!</v>
      </c>
      <c r="E74" s="202">
        <v>1</v>
      </c>
      <c r="F74" s="203" t="e">
        <f>SUM(F69:F73)</f>
        <v>#DIV/0!</v>
      </c>
    </row>
    <row r="75" spans="1:8" x14ac:dyDescent="0.2">
      <c r="A75" s="190" t="s">
        <v>355</v>
      </c>
      <c r="B75" s="170"/>
      <c r="C75" s="170"/>
      <c r="D75" s="208">
        <f>D62</f>
        <v>0.75</v>
      </c>
      <c r="E75" s="204"/>
      <c r="F75" s="205"/>
    </row>
    <row r="76" spans="1:8" ht="29.25" thickBot="1" x14ac:dyDescent="0.25">
      <c r="A76" s="209" t="s">
        <v>356</v>
      </c>
      <c r="B76" s="206"/>
      <c r="C76" s="206"/>
      <c r="D76" s="207" t="e">
        <f>SUM(D74:D75)</f>
        <v>#DIV/0!</v>
      </c>
      <c r="E76" s="206"/>
      <c r="F76" s="207" t="e">
        <f>D76*B3_Kalkulation!L23</f>
        <v>#DIV/0!</v>
      </c>
    </row>
    <row r="77" spans="1:8" ht="15" thickTop="1" x14ac:dyDescent="0.2">
      <c r="A77" s="396"/>
    </row>
    <row r="78" spans="1:8" ht="15" customHeight="1" thickBot="1" x14ac:dyDescent="0.25">
      <c r="A78" s="965" t="s">
        <v>376</v>
      </c>
      <c r="B78" s="965"/>
      <c r="C78" s="965"/>
      <c r="D78" s="965"/>
      <c r="E78" s="965"/>
      <c r="F78" s="965"/>
      <c r="G78" s="965"/>
      <c r="H78" s="965"/>
    </row>
    <row r="79" spans="1:8" x14ac:dyDescent="0.2">
      <c r="A79" s="362"/>
      <c r="B79" s="974" t="s">
        <v>367</v>
      </c>
      <c r="C79" s="975"/>
      <c r="D79" s="975"/>
      <c r="E79" s="976"/>
      <c r="F79" s="974" t="s">
        <v>368</v>
      </c>
      <c r="G79" s="977"/>
      <c r="H79" s="961" t="s">
        <v>369</v>
      </c>
    </row>
    <row r="80" spans="1:8" ht="71.25" x14ac:dyDescent="0.2">
      <c r="A80" s="363"/>
      <c r="B80" s="364" t="s">
        <v>349</v>
      </c>
      <c r="C80" s="365" t="s">
        <v>370</v>
      </c>
      <c r="D80" s="366" t="s">
        <v>371</v>
      </c>
      <c r="E80" s="367" t="s">
        <v>372</v>
      </c>
      <c r="F80" s="364" t="s">
        <v>371</v>
      </c>
      <c r="G80" s="368" t="s">
        <v>373</v>
      </c>
      <c r="H80" s="962"/>
    </row>
    <row r="81" spans="1:17" x14ac:dyDescent="0.2">
      <c r="A81" s="369" t="s">
        <v>57</v>
      </c>
      <c r="B81" s="370">
        <f>B3_Kalkulation!H14</f>
        <v>0</v>
      </c>
      <c r="C81" s="371">
        <f>B3_Kalkulation!I17</f>
        <v>0</v>
      </c>
      <c r="D81" s="372">
        <f>IFERROR(B81/C81,0)</f>
        <v>0</v>
      </c>
      <c r="E81" s="373">
        <f>IFERROR(D81/$D$86,0)</f>
        <v>0</v>
      </c>
      <c r="F81" s="374">
        <f>IFERROR($D$88*E81,0)</f>
        <v>0</v>
      </c>
      <c r="G81" s="375">
        <f>IF(F81=0,C81,B81/F81)</f>
        <v>0</v>
      </c>
      <c r="H81" s="376" t="e">
        <f>ROUND(B81/G81,3)</f>
        <v>#DIV/0!</v>
      </c>
    </row>
    <row r="82" spans="1:17" x14ac:dyDescent="0.2">
      <c r="A82" s="369" t="s">
        <v>58</v>
      </c>
      <c r="B82" s="370">
        <f>B3_Kalkulation!I14</f>
        <v>0</v>
      </c>
      <c r="C82" s="371">
        <f>B3_Kalkulation!I18</f>
        <v>0</v>
      </c>
      <c r="D82" s="372">
        <f t="shared" ref="D82:D85" si="5">IFERROR(B82/C82,0)</f>
        <v>0</v>
      </c>
      <c r="E82" s="373">
        <f t="shared" ref="E82:E85" si="6">IFERROR(D82/$D$86,0)</f>
        <v>0</v>
      </c>
      <c r="F82" s="374">
        <f t="shared" ref="F82:F85" si="7">IFERROR($D$88*E82,0)</f>
        <v>0</v>
      </c>
      <c r="G82" s="375">
        <f>IFERROR(B82/F82,0)</f>
        <v>0</v>
      </c>
      <c r="H82" s="376" t="e">
        <f t="shared" ref="H82:H85" si="8">ROUND(B82/G82,3)</f>
        <v>#DIV/0!</v>
      </c>
    </row>
    <row r="83" spans="1:17" x14ac:dyDescent="0.2">
      <c r="A83" s="369" t="s">
        <v>59</v>
      </c>
      <c r="B83" s="370">
        <f>B3_Kalkulation!J14</f>
        <v>0</v>
      </c>
      <c r="C83" s="371">
        <f>B3_Kalkulation!I19</f>
        <v>0</v>
      </c>
      <c r="D83" s="372">
        <f t="shared" si="5"/>
        <v>0</v>
      </c>
      <c r="E83" s="373">
        <f t="shared" si="6"/>
        <v>0</v>
      </c>
      <c r="F83" s="374">
        <f t="shared" si="7"/>
        <v>0</v>
      </c>
      <c r="G83" s="375">
        <f t="shared" ref="G83:G84" si="9">IFERROR(B83/F83,0)</f>
        <v>0</v>
      </c>
      <c r="H83" s="376" t="e">
        <f t="shared" si="8"/>
        <v>#DIV/0!</v>
      </c>
    </row>
    <row r="84" spans="1:17" x14ac:dyDescent="0.2">
      <c r="A84" s="369" t="s">
        <v>60</v>
      </c>
      <c r="B84" s="370">
        <f>B3_Kalkulation!K14</f>
        <v>0</v>
      </c>
      <c r="C84" s="371">
        <f>B3_Kalkulation!I20</f>
        <v>0</v>
      </c>
      <c r="D84" s="372">
        <f t="shared" si="5"/>
        <v>0</v>
      </c>
      <c r="E84" s="373">
        <f t="shared" si="6"/>
        <v>0</v>
      </c>
      <c r="F84" s="374">
        <f t="shared" si="7"/>
        <v>0</v>
      </c>
      <c r="G84" s="375">
        <f t="shared" si="9"/>
        <v>0</v>
      </c>
      <c r="H84" s="376" t="e">
        <f t="shared" si="8"/>
        <v>#DIV/0!</v>
      </c>
    </row>
    <row r="85" spans="1:17" x14ac:dyDescent="0.2">
      <c r="A85" s="369" t="s">
        <v>61</v>
      </c>
      <c r="B85" s="377">
        <f>B3_Kalkulation!L14</f>
        <v>0</v>
      </c>
      <c r="C85" s="371">
        <f>B3_Kalkulation!I21</f>
        <v>0</v>
      </c>
      <c r="D85" s="378">
        <f t="shared" si="5"/>
        <v>0</v>
      </c>
      <c r="E85" s="373">
        <f t="shared" si="6"/>
        <v>0</v>
      </c>
      <c r="F85" s="374">
        <f t="shared" si="7"/>
        <v>0</v>
      </c>
      <c r="G85" s="375">
        <f>IF(F85=0,C85,B85/F85)</f>
        <v>0</v>
      </c>
      <c r="H85" s="376" t="e">
        <f t="shared" si="8"/>
        <v>#DIV/0!</v>
      </c>
    </row>
    <row r="86" spans="1:17" ht="15" thickBot="1" x14ac:dyDescent="0.25">
      <c r="A86" s="379" t="s">
        <v>354</v>
      </c>
      <c r="B86" s="380"/>
      <c r="C86" s="381"/>
      <c r="D86" s="382">
        <f>SUM(D81:D85)</f>
        <v>0</v>
      </c>
      <c r="E86" s="383">
        <f>SUM(E81:E85)</f>
        <v>0</v>
      </c>
      <c r="F86" s="384"/>
      <c r="G86" s="268"/>
      <c r="H86" s="385"/>
    </row>
    <row r="87" spans="1:17" ht="15" thickTop="1" x14ac:dyDescent="0.2">
      <c r="A87" s="386"/>
      <c r="B87" s="963" t="s">
        <v>374</v>
      </c>
      <c r="C87" s="964"/>
      <c r="D87" s="387" t="str">
        <f>B3_Kalkulation!J22</f>
        <v/>
      </c>
      <c r="F87" s="388"/>
      <c r="G87" s="268"/>
      <c r="H87" s="385"/>
    </row>
    <row r="88" spans="1:17" ht="15" thickBot="1" x14ac:dyDescent="0.25">
      <c r="A88" s="389" t="s">
        <v>375</v>
      </c>
      <c r="B88" s="390">
        <f>SUM(B81:B85)</f>
        <v>0</v>
      </c>
      <c r="C88" s="391"/>
      <c r="D88" s="392">
        <f>SUM(D86:D87)</f>
        <v>0</v>
      </c>
      <c r="E88" s="393"/>
      <c r="F88" s="394">
        <f>SUM(F81:F87)</f>
        <v>0</v>
      </c>
      <c r="G88" s="393"/>
      <c r="H88" s="395" t="e">
        <f>SUM(H81:H87)</f>
        <v>#DIV/0!</v>
      </c>
    </row>
    <row r="89" spans="1:17" ht="15" thickTop="1" x14ac:dyDescent="0.2"/>
    <row r="90" spans="1:17" ht="15" x14ac:dyDescent="0.25">
      <c r="A90" s="604" t="s">
        <v>412</v>
      </c>
      <c r="B90" s="604" t="s">
        <v>415</v>
      </c>
      <c r="C90" s="757" t="s">
        <v>595</v>
      </c>
      <c r="J90" s="234" t="s">
        <v>602</v>
      </c>
      <c r="K90" s="772"/>
      <c r="L90" s="772"/>
      <c r="M90" s="772"/>
      <c r="N90" s="772"/>
      <c r="O90" s="772"/>
      <c r="P90" s="772"/>
      <c r="Q90" s="291"/>
    </row>
    <row r="91" spans="1:17" ht="28.5" x14ac:dyDescent="0.2">
      <c r="A91" s="602" t="s">
        <v>413</v>
      </c>
      <c r="B91" s="605">
        <v>0.1</v>
      </c>
      <c r="C91" s="757"/>
      <c r="J91" s="763" t="s">
        <v>596</v>
      </c>
      <c r="K91" s="763" t="s">
        <v>597</v>
      </c>
      <c r="L91" s="765" t="s">
        <v>598</v>
      </c>
      <c r="M91" s="763" t="s">
        <v>599</v>
      </c>
      <c r="N91" s="766" t="s">
        <v>600</v>
      </c>
      <c r="O91" s="764" t="s">
        <v>601</v>
      </c>
      <c r="P91" s="170"/>
      <c r="Q91" s="180"/>
    </row>
    <row r="92" spans="1:17" x14ac:dyDescent="0.2">
      <c r="A92" s="602" t="s">
        <v>95</v>
      </c>
      <c r="B92" s="605">
        <v>3.5000000000000003E-2</v>
      </c>
      <c r="C92" s="758">
        <v>45603</v>
      </c>
      <c r="J92" s="769">
        <f>IF(B3_Kalkulation!K16="Beförderung intern (Preis):",1,0)</f>
        <v>0</v>
      </c>
      <c r="K92" s="767">
        <f>B3_Kalkulation!F16*(100%+B3_Kalkulation!M16)</f>
        <v>0</v>
      </c>
      <c r="L92" s="760">
        <f>IF(K92&gt;B95,B95,K92)</f>
        <v>0</v>
      </c>
      <c r="M92" s="769">
        <f>IF(K92&gt;B95,1,0)</f>
        <v>0</v>
      </c>
      <c r="N92" s="180" t="s">
        <v>609</v>
      </c>
      <c r="O92" t="s">
        <v>612</v>
      </c>
      <c r="Q92" s="18"/>
    </row>
    <row r="93" spans="1:17" x14ac:dyDescent="0.2">
      <c r="A93" s="602" t="s">
        <v>414</v>
      </c>
      <c r="B93" s="605">
        <v>0.05</v>
      </c>
      <c r="C93" s="758">
        <v>45603</v>
      </c>
      <c r="J93" s="769">
        <f>IF(B3_Kalkulation!K16="Beförderung extern (Preis):",2,0)</f>
        <v>0</v>
      </c>
      <c r="K93" s="767">
        <f>B3_Kalkulation!F16*(100%+B3_Kalkulation!M16)</f>
        <v>0</v>
      </c>
      <c r="L93" s="760">
        <f>IF(K93&gt;B96,B96,K93)</f>
        <v>0</v>
      </c>
      <c r="M93" s="769">
        <f>IF(K93&gt;B96,2,0)</f>
        <v>0</v>
      </c>
      <c r="N93" s="180" t="s">
        <v>610</v>
      </c>
      <c r="O93" t="s">
        <v>611</v>
      </c>
      <c r="Q93" s="18"/>
    </row>
    <row r="94" spans="1:17" ht="15.75" thickBot="1" x14ac:dyDescent="0.3">
      <c r="A94" s="602" t="s">
        <v>472</v>
      </c>
      <c r="B94" s="605">
        <v>0.05</v>
      </c>
      <c r="C94" s="757"/>
      <c r="J94" s="773">
        <f>SUM(J92:J93)</f>
        <v>0</v>
      </c>
      <c r="K94" s="768"/>
      <c r="L94" s="774" t="str">
        <f>IF(J92=1,L92,IF(J93=2,L93,""))</f>
        <v/>
      </c>
      <c r="M94" s="768"/>
      <c r="N94" s="761" t="str">
        <f>IF(J92+M92=2,N92,IF(J93+M93=4,N93,""))</f>
        <v/>
      </c>
      <c r="O94" t="s">
        <v>613</v>
      </c>
      <c r="Q94" s="18"/>
    </row>
    <row r="95" spans="1:17" ht="15.75" thickTop="1" thickBot="1" x14ac:dyDescent="0.25">
      <c r="A95" s="602" t="s">
        <v>590</v>
      </c>
      <c r="B95" s="603">
        <v>18.5</v>
      </c>
      <c r="C95" s="758">
        <v>45603</v>
      </c>
      <c r="J95" s="770"/>
      <c r="K95" s="759"/>
      <c r="L95" s="759"/>
      <c r="M95" s="759"/>
      <c r="N95" s="759"/>
      <c r="O95" s="759"/>
      <c r="P95" s="759"/>
      <c r="Q95" s="771"/>
    </row>
    <row r="96" spans="1:17" ht="15" thickTop="1" x14ac:dyDescent="0.2">
      <c r="A96" s="755" t="s">
        <v>591</v>
      </c>
      <c r="B96" s="603">
        <v>21</v>
      </c>
      <c r="C96" s="758">
        <v>45603</v>
      </c>
    </row>
    <row r="97" spans="1:2" x14ac:dyDescent="0.2">
      <c r="A97" s="755" t="s">
        <v>592</v>
      </c>
    </row>
    <row r="100" spans="1:2" x14ac:dyDescent="0.2">
      <c r="A100" s="790" t="s">
        <v>649</v>
      </c>
    </row>
    <row r="101" spans="1:2" x14ac:dyDescent="0.2">
      <c r="A101" t="s">
        <v>132</v>
      </c>
      <c r="B101" t="s">
        <v>650</v>
      </c>
    </row>
  </sheetData>
  <sheetProtection algorithmName="SHA-512" hashValue="K8CNruPqy6DEuza2GrkCojHQfecksHvPMBDsbS2D3vdkfC1g7ttcntAsyeeqS1cvXpt5j/eHxVRBkV+zmoOjRA==" saltValue="4LmNUFiyqbpgljASGEMWUw==" spinCount="100000" sheet="1" objects="1" scenarios="1"/>
  <mergeCells count="9">
    <mergeCell ref="H79:H80"/>
    <mergeCell ref="B87:C87"/>
    <mergeCell ref="A78:H78"/>
    <mergeCell ref="B44:F44"/>
    <mergeCell ref="A48:A49"/>
    <mergeCell ref="A51:A53"/>
    <mergeCell ref="A55:A56"/>
    <mergeCell ref="B79:E79"/>
    <mergeCell ref="F79:G79"/>
  </mergeCells>
  <pageMargins left="0.70866141732283472" right="0.70866141732283472" top="0.78740157480314965" bottom="0.78740157480314965" header="0.31496062992125984" footer="0.31496062992125984"/>
  <pageSetup paperSize="9" orientation="portrait"/>
  <headerFooter>
    <oddFooter xml:space="preserve">&amp;C
&amp;1#&amp;"Calibri,Standard"&amp;10&amp;K000000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B3_Hinweise</vt:lpstr>
      <vt:lpstr>B3_Allgemeine Angaben</vt:lpstr>
      <vt:lpstr>B3_Kalkulation</vt:lpstr>
      <vt:lpstr>B3_Gesamtkalkulation</vt:lpstr>
      <vt:lpstr>B3_Bewohnervertretung</vt:lpstr>
      <vt:lpstr>B3_Ergebnis</vt:lpstr>
      <vt:lpstr>Adressen</vt:lpstr>
      <vt:lpstr>B3_VERSIONSINFO</vt:lpstr>
      <vt:lpstr>KAT</vt:lpstr>
      <vt:lpstr>Archiv</vt:lpstr>
      <vt:lpstr>Adressverzeichnis</vt:lpstr>
      <vt:lpstr>Adressen!Druckbereich</vt:lpstr>
      <vt:lpstr>Adressverzeichnis!Druckbereich</vt:lpstr>
      <vt:lpstr>'B3_Allgemeine Angaben'!Druckbereich</vt:lpstr>
      <vt:lpstr>B3_Bewohnervertretung!Druckbereich</vt:lpstr>
      <vt:lpstr>B3_Gesamtkalkulation!Druckbereich</vt:lpstr>
      <vt:lpstr>B3_Hinweise!Druckbereich</vt:lpstr>
      <vt:lpstr>B3_Kalkulation!Druckbereich</vt:lpstr>
      <vt:lpstr>B3_VERSIONSINFO!Druckbereich</vt:lpstr>
      <vt:lpstr>B3_VERSIONSINFO!Drucktitel</vt:lpstr>
      <vt:lpstr>eeadivisor</vt:lpstr>
    </vt:vector>
  </TitlesOfParts>
  <Company>AOK 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Vereinfachtes Antragsverfahren für tarifgebundene Tages- und Kurzzeitpflegeeinrichtungen</dc:title>
  <dc:creator>AOK PLUS - Die Gesundheitskasse für Sachsen und Thüringen</dc:creator>
  <cp:lastPrinted>2024-11-26T15:34:13Z</cp:lastPrinted>
  <dcterms:created xsi:type="dcterms:W3CDTF">2012-08-21T12:23:19Z</dcterms:created>
  <dcterms:modified xsi:type="dcterms:W3CDTF">2024-11-26T15:41:15Z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2024-11-22T13:31:53Z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2ad89c49-dd2e-4e88-a8df-05b5443b53a6</vt:lpwstr>
  </property>
  <property fmtid="{D5CDD505-2E9C-101B-9397-08002B2CF9AE}" pid="8" name="MSIP_Label_94f72c9e-ff9b-4d29-a8be-f698af1f1989_ContentBits">
    <vt:lpwstr>2</vt:lpwstr>
  </property>
</Properties>
</file>